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36" yWindow="210" windowWidth="15480" windowHeight="8640" activeTab="0"/>
  </bookViews>
  <sheets>
    <sheet name="Summary" sheetId="1" r:id="rId1"/>
    <sheet name="HiddenSum" sheetId="2" state="veryHidden" r:id="rId2"/>
  </sheets>
  <definedNames>
    <definedName name="AccessJARC" localSheetId="1">'HiddenSum'!$B$66</definedName>
    <definedName name="AccessJARCTF">'HiddenSum'!$F$66</definedName>
    <definedName name="AccessSecondThirdShift" localSheetId="1">'HiddenSum'!$B$67</definedName>
    <definedName name="AccessSecondThirdShiftTF">'HiddenSum'!$F$67</definedName>
    <definedName name="Achieved1">'HiddenSum'!$G$321</definedName>
    <definedName name="Achieved2">'HiddenSum'!$G$322</definedName>
    <definedName name="Achieved3">'HiddenSum'!$G$323</definedName>
    <definedName name="address1">'HiddenSum'!$B$9</definedName>
    <definedName name="address2">'HiddenSum'!$B$10</definedName>
    <definedName name="Agency.Org">#REF!</definedName>
    <definedName name="AgencyOrg">'HiddenSum'!$B$7</definedName>
    <definedName name="AgencyOrgName">'Summary'!$C$6</definedName>
    <definedName name="AppStatus">'HiddenSum'!$B$22</definedName>
    <definedName name="attendance">'HiddenSum'!$B$47</definedName>
    <definedName name="attendee">'HiddenSum'!$B$48</definedName>
    <definedName name="CapExp10JARC">'HiddenSum'!$E$137</definedName>
    <definedName name="CapExp10NF">'HiddenSum'!$E$138</definedName>
    <definedName name="CapExp1JARC">'HiddenSum'!$E$119</definedName>
    <definedName name="CapExp1NF">'HiddenSum'!$E$120</definedName>
    <definedName name="CapExp2JARC">'HiddenSum'!$E$121</definedName>
    <definedName name="CapExp2NF">'HiddenSum'!$E$122</definedName>
    <definedName name="CapExp3JARC">'HiddenSum'!$E$123</definedName>
    <definedName name="CapExp3NF">'HiddenSum'!$E$124</definedName>
    <definedName name="CapExp4JARC">'HiddenSum'!$E$125</definedName>
    <definedName name="CapExp4NF">'HiddenSum'!$E$126</definedName>
    <definedName name="CapExp5JARC">'HiddenSum'!$E$127</definedName>
    <definedName name="CapExp5NF">'HiddenSum'!$E$128</definedName>
    <definedName name="CapExp6JARC">'HiddenSum'!$E$129</definedName>
    <definedName name="CapExp6NF">'HiddenSum'!$E$130</definedName>
    <definedName name="CapExp7JARC">'HiddenSum'!$E$131</definedName>
    <definedName name="CapExp7NF">'HiddenSum'!$E$132</definedName>
    <definedName name="CapExp8JARC">'HiddenSum'!$E$133</definedName>
    <definedName name="CapExp8NF">'HiddenSum'!$E$134</definedName>
    <definedName name="CapExp9JARC">'HiddenSum'!$E$135</definedName>
    <definedName name="CapExp9NF">'HiddenSum'!$E$136</definedName>
    <definedName name="capfedsharedollar">'HiddenSum'!$B$107</definedName>
    <definedName name="capfedsharepercent">'HiddenSum'!$C$107</definedName>
    <definedName name="CapImpLackADA" localSheetId="1">'HiddenSum'!$B$79</definedName>
    <definedName name="CapImpLackADATF">'HiddenSum'!$F$79</definedName>
    <definedName name="CapImpLackADAveh" localSheetId="1">'HiddenSum'!$B$80</definedName>
    <definedName name="CapImpLackADAvehTF">'HiddenSum'!$F$80</definedName>
    <definedName name="CapImpLackADAwaiting" localSheetId="1">'HiddenSum'!$B$79</definedName>
    <definedName name="Capital">'HiddenSum'!#REF!</definedName>
    <definedName name="CapitalProjBudget">'HiddenSum'!#REF!</definedName>
    <definedName name="caplocaldollar">'HiddenSum'!$B$108</definedName>
    <definedName name="caplocalpercent">'HiddenSum'!$C$108</definedName>
    <definedName name="CapSubInKindMatch">'Summary'!$C$128</definedName>
    <definedName name="CapSubLocalFunds">'Summary'!$C$105</definedName>
    <definedName name="capunit1">'Summary'!$B$70</definedName>
    <definedName name="capunit10">'Summary'!$B$79</definedName>
    <definedName name="capunit2">'Summary'!$B$71</definedName>
    <definedName name="capunit3">'Summary'!$B$72</definedName>
    <definedName name="capunit4">'Summary'!$B$73</definedName>
    <definedName name="capunit5">'Summary'!$B$74</definedName>
    <definedName name="capunit6">'Summary'!$B$75</definedName>
    <definedName name="capunit7">'Summary'!$B$76</definedName>
    <definedName name="capunit8">'Summary'!$B$77</definedName>
    <definedName name="capunit9">'Summary'!$B$78</definedName>
    <definedName name="causeidentified">'HiddenSum'!$D$327</definedName>
    <definedName name="city">'HiddenSum'!$B$11</definedName>
    <definedName name="contactper">'HiddenSum'!$B$8</definedName>
    <definedName name="correctionactionidentified">'HiddenSum'!$D$324</definedName>
    <definedName name="correctionactionidentifiedfinal">'HiddenSum'!$E$324</definedName>
    <definedName name="correctiveno">'HiddenSum'!$C$324</definedName>
    <definedName name="correctiveyes">'HiddenSum'!$B$324</definedName>
    <definedName name="descriptionmodifications">'HiddenSum'!$B$336</definedName>
    <definedName name="didnotattend">'HiddenSum'!$B$40</definedName>
    <definedName name="disabled">'HiddenSum'!$D$56</definedName>
    <definedName name="elderly">'HiddenSum'!$C$56</definedName>
    <definedName name="EligibleActivities" localSheetId="1">'HiddenSum'!$B$57</definedName>
    <definedName name="EligJARC">'HiddenSum'!$B$58</definedName>
    <definedName name="EligNF">'HiddenSum'!$B$59</definedName>
    <definedName name="EligRural">'HiddenSum'!$B$60</definedName>
    <definedName name="EligSmallUrb">'HiddenSum'!$B$62</definedName>
    <definedName name="EligUrban">'HiddenSum'!$B$61</definedName>
    <definedName name="email">'HiddenSum'!$B$15</definedName>
    <definedName name="EPwith">'HiddenSum'!$B$307</definedName>
    <definedName name="EPwithachieved">'HiddenSum'!#REF!</definedName>
    <definedName name="EPwithcorrective">'HiddenSum'!$B$325</definedName>
    <definedName name="EPwithdescribecause">'HiddenSum'!$B$328</definedName>
    <definedName name="EPwithgoals">'HiddenSum'!$C$318</definedName>
    <definedName name="EPwithpastquarter">'HiddenSum'!$B$326</definedName>
    <definedName name="EPwithperformance">'HiddenSum'!#REF!</definedName>
    <definedName name="EPwithreasonablecause">'HiddenSum'!$B$327</definedName>
    <definedName name="EPwithreasonablecauseno">'HiddenSum'!$C$327</definedName>
    <definedName name="EPwithsubsequent">'HiddenSum'!$B$329</definedName>
    <definedName name="EPwiththresholds">'HiddenSum'!#REF!</definedName>
    <definedName name="EPwo">'HiddenSum'!$B$306</definedName>
    <definedName name="Exiswocosteff">'HiddenSum'!$B$315</definedName>
    <definedName name="Exiswocosteffectiveness">'HiddenSum'!$B$316</definedName>
    <definedName name="Exiswoeffec">'HiddenSum'!$B$314</definedName>
    <definedName name="ExiswoGoals">'HiddenSum'!$B$313</definedName>
    <definedName name="Expforreduceddep">'HiddenSum'!#REF!</definedName>
    <definedName name="explaininnovative">'HiddenSum'!$B$333</definedName>
    <definedName name="FTAFundsReq" localSheetId="1">'HiddenSum'!$B$51</definedName>
    <definedName name="FTAFundsReqOperating">'HiddenSum'!$B$52</definedName>
    <definedName name="fundingcommitmentbeyond">'HiddenSum'!$B$331</definedName>
    <definedName name="FundJARC">'HiddenSum'!$B$32</definedName>
    <definedName name="FundNewFreedom">'HiddenSum'!$B$33</definedName>
    <definedName name="FutureFundsIdent">'HiddenSum'!$B$287</definedName>
    <definedName name="Gap15label">'HiddenSum'!$A$80</definedName>
    <definedName name="Gap1Label">'HiddenSum'!$A$66</definedName>
    <definedName name="GeographicalSize" localSheetId="1">'HiddenSum'!$B$63</definedName>
    <definedName name="government">'HiddenSum'!$B$24</definedName>
    <definedName name="Govt">'HiddenSum'!$A$24</definedName>
    <definedName name="ImpEffServRisingCost">'HiddenSum'!$B$76</definedName>
    <definedName name="ImpEffServRisingCostTF">'HiddenSum'!$F$76</definedName>
    <definedName name="ImprEffDrivRetention" localSheetId="1">'HiddenSum'!$B$78</definedName>
    <definedName name="ImprEffDrivRetentionTF">'HiddenSum'!$F$78</definedName>
    <definedName name="ImproveEffLongwaittime" localSheetId="1">'HiddenSum'!$B$77</definedName>
    <definedName name="ImproveEffLongwaittimeTF">'HiddenSum'!$F$77</definedName>
    <definedName name="ImprovEffConnectivity" localSheetId="1">'HiddenSum'!$B$75</definedName>
    <definedName name="ImprovEffConnectivityTF">'HiddenSum'!$F$75</definedName>
    <definedName name="inno">'HiddenSum'!$D$332</definedName>
    <definedName name="innovativetechnologies">'HiddenSum'!$B$332</definedName>
    <definedName name="inyes">'HiddenSum'!$C$332</definedName>
    <definedName name="JARC">'HiddenSum'!$F$119</definedName>
    <definedName name="JARCBeyondAmount1">'Summary'!$B$134</definedName>
    <definedName name="JARCBeyondAmount10">'Summary'!$B$143</definedName>
    <definedName name="JARCBeyondAmount2">'Summary'!$B$135</definedName>
    <definedName name="JARCBeyondAmount3">'Summary'!$B$136</definedName>
    <definedName name="JARCBeyondAmount4">'Summary'!$B$137</definedName>
    <definedName name="JARCBeyondAmount5">'Summary'!$B$138</definedName>
    <definedName name="JARCBeyondAmount6">'Summary'!$B$139</definedName>
    <definedName name="JARCBeyondAmount7">'Summary'!$B$140</definedName>
    <definedName name="JARCBeyondAmount8">'Summary'!$B$141</definedName>
    <definedName name="JARCBeyondAmount9">'Summary'!$B$142</definedName>
    <definedName name="JARCBeyondSource1">'Summary'!$A$134</definedName>
    <definedName name="JARCBeyondSource10">'Summary'!$A$143</definedName>
    <definedName name="JARCBeyondSource2">'Summary'!$A$135</definedName>
    <definedName name="JARCBeyondSource3">'Summary'!$A$136</definedName>
    <definedName name="JARCBeyondSource4">'Summary'!$A$137</definedName>
    <definedName name="JARCBeyondSource5">'Summary'!$A$138</definedName>
    <definedName name="JARCBeyondSource6">'Summary'!$A$139</definedName>
    <definedName name="JARCBeyondSource7">'Summary'!$A$140</definedName>
    <definedName name="JARCBeyondSource8">'Summary'!$A$141</definedName>
    <definedName name="JARCBeyondSource9">'Summary'!$A$142</definedName>
    <definedName name="JARCCapital1">'Summary'!$A$70</definedName>
    <definedName name="JARCCapital10">'Summary'!$A$79</definedName>
    <definedName name="JARCCapital2">'Summary'!$A$71</definedName>
    <definedName name="JARCCapital3">'Summary'!$A$72</definedName>
    <definedName name="JARCCapital4">'Summary'!$A$73</definedName>
    <definedName name="JARCCapital5">'Summary'!$A$74</definedName>
    <definedName name="JARCCapital6">'Summary'!$A$75</definedName>
    <definedName name="JARCCapital7">'Summary'!$A$76</definedName>
    <definedName name="JARCCapital8">'Summary'!$A$77</definedName>
    <definedName name="JARCCapital9">'Summary'!$A$78</definedName>
    <definedName name="JARCCapMatchSource1">'Summary'!$A$108</definedName>
    <definedName name="JARCCapMatchSource10">'Summary'!$A$117</definedName>
    <definedName name="JARCCapMatchSource2">'Summary'!$A$109</definedName>
    <definedName name="JARCCapMatchSource3">'Summary'!$A$110</definedName>
    <definedName name="JARCCapMatchSource4">'Summary'!$A$111</definedName>
    <definedName name="JARCCapMatchSource5">'Summary'!$A$112</definedName>
    <definedName name="JARCCapMatchSource6">'Summary'!$A$113</definedName>
    <definedName name="JARCCapMatchSource7">'Summary'!$A$114</definedName>
    <definedName name="JARCCapMatchSource8">'Summary'!$A$115</definedName>
    <definedName name="JARCCapMatchSource9">'Summary'!$A$116</definedName>
    <definedName name="JARCCapMatchValue1">'Summary'!$C$108</definedName>
    <definedName name="JARCCapMatchValue10">'Summary'!$C$117</definedName>
    <definedName name="JARCCapMatchValue2">'Summary'!$C$109</definedName>
    <definedName name="JARCCapMatchValue3">'Summary'!$C$110</definedName>
    <definedName name="JARCCapMatchValue4">'Summary'!$C$111</definedName>
    <definedName name="JARCCapMatchValue5">'Summary'!$C$112</definedName>
    <definedName name="JARCCapMatchValue6">'Summary'!$C$113</definedName>
    <definedName name="JARCCapMatchValue7">'Summary'!$C$114</definedName>
    <definedName name="JARCCapMatchValue8">'Summary'!$C$115</definedName>
    <definedName name="JARCCapMatchValue9">'Summary'!$C$116</definedName>
    <definedName name="JARCCapQuantity1">'Summary'!$C$70</definedName>
    <definedName name="JARCCapQuantity10">'Summary'!$C$79</definedName>
    <definedName name="JARCCapQuantity2">'Summary'!$C$71</definedName>
    <definedName name="JARCCapQuantity3">'Summary'!$C$72</definedName>
    <definedName name="JARCCapQuantity4">'Summary'!$C$73</definedName>
    <definedName name="JARCCapQuantity5">'Summary'!$C$74</definedName>
    <definedName name="JARCCapQuantity6">'Summary'!$C$75</definedName>
    <definedName name="JARCCapQuantity7">'Summary'!$C$76</definedName>
    <definedName name="JARCCapQuantity8">'Summary'!$C$77</definedName>
    <definedName name="JARCCapQuantity9">'Summary'!$C$78</definedName>
    <definedName name="JARCCapSub1">'Summary'!$E$70</definedName>
    <definedName name="JARCCapSub10">'Summary'!$E$79</definedName>
    <definedName name="JARCCapSub2">'Summary'!$E$71</definedName>
    <definedName name="JARCCapSub3">'Summary'!$E$72</definedName>
    <definedName name="JARCCapSub4">'Summary'!$E$73</definedName>
    <definedName name="JARCCapSub5">'Summary'!$E$74</definedName>
    <definedName name="JARCCapSub6">'Summary'!$E$75</definedName>
    <definedName name="JARCCapSub7">'Summary'!$E$76</definedName>
    <definedName name="JARCCapSub8">'Summary'!$E$77</definedName>
    <definedName name="JARCCapSub9">'Summary'!$E$78</definedName>
    <definedName name="JARCCapUnitP1">'Summary'!$D$70</definedName>
    <definedName name="JARCCapUnitP10">'Summary'!$D$79</definedName>
    <definedName name="JARCCapUnitP2">'Summary'!$D$71</definedName>
    <definedName name="JARCCapUnitP3">'Summary'!$D$72</definedName>
    <definedName name="JARCCapUnitP4">'Summary'!$D$73</definedName>
    <definedName name="JARCCapUnitP5">'Summary'!$D$74</definedName>
    <definedName name="JARCCapUnitP6">'Summary'!$D$75</definedName>
    <definedName name="JARCCapUnitP7">'Summary'!$D$76</definedName>
    <definedName name="JARCCapUnitP8">'Summary'!$D$77</definedName>
    <definedName name="JARCCapUnitP9">'Summary'!$D$78</definedName>
    <definedName name="JARCCostsDriver">'Summary'!$B$149</definedName>
    <definedName name="JARCFuelandOil">'Summary'!$B$158</definedName>
    <definedName name="JARCFundingAmount1">'Summary'!$C$85</definedName>
    <definedName name="JARCFundingAmount10">'Summary'!$C$94</definedName>
    <definedName name="JARCFundingAmount11">'Summary'!$C$95</definedName>
    <definedName name="JARCFundingAmount12">'Summary'!$C$96</definedName>
    <definedName name="JARCFundingAmount13">'Summary'!$C$97</definedName>
    <definedName name="JARCFundingAmount14">'Summary'!$C$98</definedName>
    <definedName name="JARCFundingAmount15">'Summary'!$C$99</definedName>
    <definedName name="JARCFundingAmount16">'Summary'!$C$100</definedName>
    <definedName name="JARCFundingAmount17">'Summary'!$C$101</definedName>
    <definedName name="JARCFundingAmount18">'Summary'!$C$102</definedName>
    <definedName name="JARCFundingAmount19">'Summary'!$C$103</definedName>
    <definedName name="JARCFundingAmount2">'Summary'!$C$86</definedName>
    <definedName name="JARCFundingAmount20">'Summary'!$C$104</definedName>
    <definedName name="JARCFundingAmount3">'Summary'!$C$87</definedName>
    <definedName name="JARCFundingAmount4">'Summary'!$C$88</definedName>
    <definedName name="JARCFundingAmount5">'Summary'!$C$89</definedName>
    <definedName name="JARCFundingAmount6">'Summary'!$C$90</definedName>
    <definedName name="JARCFundingAmount7">'Summary'!$C$91</definedName>
    <definedName name="JARCFundingAmount8">'Summary'!$C$92</definedName>
    <definedName name="JARCFundingAmount9">'Summary'!$C$93</definedName>
    <definedName name="JARCLocalSource1">'Summary'!$A$85</definedName>
    <definedName name="JARCLocalSource10">'Summary'!$A$94</definedName>
    <definedName name="JARCLocalSource11">'Summary'!$A$95</definedName>
    <definedName name="JARCLocalSource12">'Summary'!$A$96</definedName>
    <definedName name="JARCLocalSource13">'Summary'!$A$97</definedName>
    <definedName name="JARCLocalSource14">'Summary'!$A$98</definedName>
    <definedName name="JARCLocalSource15">'Summary'!$A$99</definedName>
    <definedName name="JARCLocalSource16">'Summary'!$A$100</definedName>
    <definedName name="JARCLocalSource17">'Summary'!$A$101</definedName>
    <definedName name="JARCLocalSource18">'Summary'!$A$102</definedName>
    <definedName name="JARCLocalSource19">'Summary'!$A$103</definedName>
    <definedName name="JARCLocalSource2">'Summary'!$A$86</definedName>
    <definedName name="JARCLocalSource20">'Summary'!$A$104</definedName>
    <definedName name="JARCLocalSource3">'Summary'!$A$87</definedName>
    <definedName name="JARCLocalSource4">'Summary'!$A$88</definedName>
    <definedName name="JARCLocalSource5">'Summary'!$A$89</definedName>
    <definedName name="JARCLocalSource6">'Summary'!$A$90</definedName>
    <definedName name="JARCLocalSource7">'Summary'!$A$91</definedName>
    <definedName name="JARCLocalSource9">'Summary'!$A$93</definedName>
    <definedName name="JARCLongTermEffect">'HiddenSum'!$B$182</definedName>
    <definedName name="JARCOpRevFares">'Summary'!$B$172</definedName>
    <definedName name="JARCOtherOpExp1">'Summary'!$A$162</definedName>
    <definedName name="JARCOtherOpExp1Amount">'Summary'!$B$162</definedName>
    <definedName name="JARCOtherOpExp2">'Summary'!$A$163</definedName>
    <definedName name="JARCOtherOpExp2Amount">'Summary'!$B$163</definedName>
    <definedName name="JARCOtherOpExp3">'Summary'!$A$164</definedName>
    <definedName name="JARCOtherOpExp3Amount">'Summary'!$B$164</definedName>
    <definedName name="JARCOtherOpExp4">'Summary'!$A$165</definedName>
    <definedName name="JARCOtherOpExp4Amount">'Summary'!$B$165</definedName>
    <definedName name="JARCOtherOpExp5">'Summary'!$A$166</definedName>
    <definedName name="JARCOtherOpExp5Amount">'Summary'!$B$166</definedName>
    <definedName name="JARCOtherOpRevSource1">'Summary'!$A$173</definedName>
    <definedName name="JARCOtherOpRevSource10">'Summary'!$A$182</definedName>
    <definedName name="JARCOtherOpRevSource2">'Summary'!$A$174</definedName>
    <definedName name="JARCOtherOpRevSource3">'Summary'!$A$175</definedName>
    <definedName name="JARCOtherOpRevSource4">'Summary'!$A$176</definedName>
    <definedName name="JARCOtherOpRevSource5">'Summary'!$A$177</definedName>
    <definedName name="JARCOtherOpRevSource6">'Summary'!$A$178</definedName>
    <definedName name="JARCOtherOpRevSource7">'Summary'!$A$179</definedName>
    <definedName name="JARCOtherOpRevSource8">'Summary'!$A$180</definedName>
    <definedName name="JARCOtherOpRevSource9">'Summary'!$A$181</definedName>
    <definedName name="JARCOtherOpRevSourceAmount1">'Summary'!$B$173</definedName>
    <definedName name="JARCOtherOpRevSourceAmount10">'Summary'!$B$182</definedName>
    <definedName name="JARCOtherOpRevSourceAmount2">'Summary'!$B$174</definedName>
    <definedName name="JARCOtherOpRevSourceAmount3">'Summary'!$B$175</definedName>
    <definedName name="JARCOtherOpRevSourceAmount4">'Summary'!$B$176</definedName>
    <definedName name="JARCOtherOpRevSourceAmount5">'Summary'!$B$177</definedName>
    <definedName name="JARCOtherOpRevSourceAmount6">'Summary'!$B$178</definedName>
    <definedName name="JARCOtherOpRevSourceAmount7">'Summary'!$B$179</definedName>
    <definedName name="JARCOtherOpRevSourceAmount8">'Summary'!$B$180</definedName>
    <definedName name="JARCOtherOpRevSourceAmount9">'Summary'!$B$181</definedName>
    <definedName name="JARCOtherPersonnel1Name">'Summary'!$A$154</definedName>
    <definedName name="JARCPersonnelBenefits">'Summary'!$B$153</definedName>
    <definedName name="JARCPersonnelFringe">'Summary'!$B$152</definedName>
    <definedName name="JARCPersonnelOther1">'Summary'!$B$154</definedName>
    <definedName name="JARCPersonnelOther2">'Summary'!$B$155</definedName>
    <definedName name="JARCPersonnelOther2Name">'Summary'!$A$155</definedName>
    <definedName name="JARCPersonnelSalary">'Summary'!$B$151</definedName>
    <definedName name="JARCPgMgProj">'HiddenSum'!#REF!</definedName>
    <definedName name="JARCPlngMktg">'HiddenSum'!$B$180</definedName>
    <definedName name="JARCPlngMktg2">'HiddenSum'!$B$181</definedName>
    <definedName name="JARCTiresMaint">'Summary'!$B$159</definedName>
    <definedName name="JARCVehiIns">'Summary'!$B$161</definedName>
    <definedName name="JARCVehLic">'Summary'!$B$160</definedName>
    <definedName name="JARCVoucherExpenses">'Summary'!$B$148</definedName>
    <definedName name="lowincome">'HiddenSum'!$E$56</definedName>
    <definedName name="Measure1">'HiddenSum'!$A$321</definedName>
    <definedName name="Measure2">'HiddenSum'!$A$322</definedName>
    <definedName name="Measure3">'HiddenSum'!$A$323</definedName>
    <definedName name="MktgReduceResTime" localSheetId="1">'HiddenSum'!$B$69</definedName>
    <definedName name="MktgReduceResTimeTF">'HiddenSum'!$F$69</definedName>
    <definedName name="MktgServices" localSheetId="1">'HiddenSum'!$B$68</definedName>
    <definedName name="MktgServicesPublicInfo" localSheetId="1">'HiddenSum'!$B$68</definedName>
    <definedName name="MktgServicesTF">'HiddenSum'!$F$68</definedName>
    <definedName name="MoreServAffordable" localSheetId="1">'HiddenSum'!$B$74</definedName>
    <definedName name="MoreServAffordableTF">'HiddenSum'!$F$74</definedName>
    <definedName name="MoreServEvngWknd" localSheetId="1">'HiddenSum'!$B$72</definedName>
    <definedName name="MoreServEvngWkndTF">'HiddenSum'!$F$72</definedName>
    <definedName name="MoreServIncreaseUtil" localSheetId="1">'HiddenSum'!$B$71</definedName>
    <definedName name="MoreServIncreaseUtilTF">'HiddenSum'!$F$71</definedName>
    <definedName name="MoreServIntercity" localSheetId="1">'HiddenSum'!$B$70</definedName>
    <definedName name="MoreServIntercityTF">'HiddenSum'!$F$70</definedName>
    <definedName name="MoreServLowincome" localSheetId="1">'HiddenSum'!$B$73</definedName>
    <definedName name="MoreServLowincomeTF">'HiddenSum'!$F$73</definedName>
    <definedName name="NA">'HiddenSum'!$B$18</definedName>
    <definedName name="netopexpenses">'HiddenSum'!$C$110</definedName>
    <definedName name="New">'HiddenSum'!$B$305</definedName>
    <definedName name="NewCapPerformance">'HiddenSum'!$B$310</definedName>
    <definedName name="NewGoals">'HiddenSum'!$B$309</definedName>
    <definedName name="NewOpPerfPlan">'HiddenSum'!$B$311</definedName>
    <definedName name="NF">'HiddenSum'!$F$120</definedName>
    <definedName name="NFBeyondAmount1">'Summary'!#REF!</definedName>
    <definedName name="NFBeyondAmount10">'Summary'!#REF!</definedName>
    <definedName name="NFBeyondAmount2">'Summary'!#REF!</definedName>
    <definedName name="NFBeyondAmount3">'Summary'!#REF!</definedName>
    <definedName name="NFBeyondAmount4">'Summary'!#REF!</definedName>
    <definedName name="NFBeyondAmount5">'Summary'!#REF!</definedName>
    <definedName name="NFBeyondAmount6">'Summary'!#REF!</definedName>
    <definedName name="NFBeyondAmount7">'Summary'!#REF!</definedName>
    <definedName name="NFBeyondAmount8">'Summary'!#REF!</definedName>
    <definedName name="NFBeyondAmount9">'Summary'!#REF!</definedName>
    <definedName name="NFBeyondSource1">'Summary'!#REF!</definedName>
    <definedName name="NFBeyondSource10">'Summary'!#REF!</definedName>
    <definedName name="NFBeyondSource2">'Summary'!#REF!</definedName>
    <definedName name="NFBeyondSource3">'Summary'!#REF!</definedName>
    <definedName name="NFBeyondSource4">'Summary'!#REF!</definedName>
    <definedName name="NFBeyondSource5">'Summary'!#REF!</definedName>
    <definedName name="NFBeyondSource6">'Summary'!#REF!</definedName>
    <definedName name="NFBeyondSource7">'Summary'!#REF!</definedName>
    <definedName name="NFBeyondSource8">'Summary'!#REF!</definedName>
    <definedName name="NFBeyondSource9">'Summary'!#REF!</definedName>
    <definedName name="NFCapital1">'Summary'!#REF!</definedName>
    <definedName name="NFCapital10">'Summary'!#REF!</definedName>
    <definedName name="NFCapital2">'Summary'!#REF!</definedName>
    <definedName name="NFCapital3">'Summary'!#REF!</definedName>
    <definedName name="NFCapital4">'Summary'!#REF!</definedName>
    <definedName name="NFCapital5">'Summary'!#REF!</definedName>
    <definedName name="NFCapital6">'Summary'!#REF!</definedName>
    <definedName name="NFCapital7">'Summary'!#REF!</definedName>
    <definedName name="NFCapital8">'Summary'!#REF!</definedName>
    <definedName name="NFCapital9">'Summary'!#REF!</definedName>
    <definedName name="NFCapMatchSource1">'Summary'!#REF!</definedName>
    <definedName name="NFCapMatchSource10">'Summary'!#REF!</definedName>
    <definedName name="NFCapMatchSource2">'Summary'!#REF!</definedName>
    <definedName name="NFCapMatchSource3">'Summary'!#REF!</definedName>
    <definedName name="NFCapMatchSource4">'Summary'!#REF!</definedName>
    <definedName name="NFCapMatchSource5">'Summary'!#REF!</definedName>
    <definedName name="NFCapMatchSource6">'Summary'!#REF!</definedName>
    <definedName name="NFCapMatchSource7">'Summary'!#REF!</definedName>
    <definedName name="NFCapMatchSource8">'Summary'!#REF!</definedName>
    <definedName name="NFCapMatchSource9">'Summary'!#REF!</definedName>
    <definedName name="NFCapMatchValue1">'Summary'!#REF!</definedName>
    <definedName name="NFCapMatchValue10">'Summary'!#REF!</definedName>
    <definedName name="NFCapMatchValue2">'Summary'!#REF!</definedName>
    <definedName name="NFCapMatchValue3">'Summary'!#REF!</definedName>
    <definedName name="NFCapMatchValue4">'Summary'!#REF!</definedName>
    <definedName name="NFCapMatchValue5">'Summary'!#REF!</definedName>
    <definedName name="NFCapMatchValue6">'Summary'!#REF!</definedName>
    <definedName name="NFCapMatchValue7">'Summary'!#REF!</definedName>
    <definedName name="NFCapMatchValue8">'Summary'!#REF!</definedName>
    <definedName name="NFCapMatchValue9">'Summary'!#REF!</definedName>
    <definedName name="NFCapQuantity1">'Summary'!#REF!</definedName>
    <definedName name="NFCapQuantity10">'Summary'!#REF!</definedName>
    <definedName name="NFCapQuantity2">'Summary'!#REF!</definedName>
    <definedName name="NFCapQuantity3">'Summary'!#REF!</definedName>
    <definedName name="NFCapQuantity4">'Summary'!#REF!</definedName>
    <definedName name="NFCapQuantity5">'Summary'!#REF!</definedName>
    <definedName name="NFCapQuantity6">'Summary'!#REF!</definedName>
    <definedName name="NFCapQuantity7">'Summary'!#REF!</definedName>
    <definedName name="NFCapQuantity8">'Summary'!#REF!</definedName>
    <definedName name="NFCapQuantity9">'Summary'!#REF!</definedName>
    <definedName name="NFCapSub1">'Summary'!#REF!</definedName>
    <definedName name="NFCapSub10">'Summary'!#REF!</definedName>
    <definedName name="NFCapSub2">'Summary'!#REF!</definedName>
    <definedName name="NFCapSub3">'Summary'!#REF!</definedName>
    <definedName name="NFCapSub4">'Summary'!#REF!</definedName>
    <definedName name="NFCapSub5">'Summary'!#REF!</definedName>
    <definedName name="NFCapSub6">'Summary'!#REF!</definedName>
    <definedName name="NFCapSub7">'Summary'!#REF!</definedName>
    <definedName name="NFCapSub8">'Summary'!#REF!</definedName>
    <definedName name="NFCapSub9">'Summary'!#REF!</definedName>
    <definedName name="NFCapUnitP1">'Summary'!#REF!</definedName>
    <definedName name="NFCapUnitP10">'Summary'!#REF!</definedName>
    <definedName name="NFCapUnitP2">'Summary'!#REF!</definedName>
    <definedName name="NFCapUnitP3">'Summary'!#REF!</definedName>
    <definedName name="NFCapUnitP4">'Summary'!#REF!</definedName>
    <definedName name="NFCapUnitP5">'Summary'!#REF!</definedName>
    <definedName name="NFCapUnitP6">'Summary'!#REF!</definedName>
    <definedName name="NFCapUnitP7">'Summary'!#REF!</definedName>
    <definedName name="NFCapUnitP8">'Summary'!#REF!</definedName>
    <definedName name="NFCapUnitP9">'Summary'!#REF!</definedName>
    <definedName name="NFCostsDriver">'Summary'!#REF!</definedName>
    <definedName name="NFFuelandOil">'Summary'!#REF!</definedName>
    <definedName name="NFFundingAmount1">'Summary'!#REF!</definedName>
    <definedName name="NFFundingAmount10">'Summary'!#REF!</definedName>
    <definedName name="NFFundingAmount2">'Summary'!#REF!</definedName>
    <definedName name="NFFundingAmount3">'Summary'!#REF!</definedName>
    <definedName name="NFFundingAmount4">'Summary'!#REF!</definedName>
    <definedName name="NFFundingAmount5">'Summary'!#REF!</definedName>
    <definedName name="NFFundingAmount6">'Summary'!#REF!</definedName>
    <definedName name="NFFundingAmount7">'Summary'!#REF!</definedName>
    <definedName name="NFFundingAmount8">'Summary'!#REF!</definedName>
    <definedName name="NFFundingAmount9">'Summary'!#REF!</definedName>
    <definedName name="NFLocalSource1">'Summary'!#REF!</definedName>
    <definedName name="NFLocalSource10">'Summary'!#REF!</definedName>
    <definedName name="NFLocalSource2">'Summary'!#REF!</definedName>
    <definedName name="NFLocalSource3">'Summary'!#REF!</definedName>
    <definedName name="NFLocalSource4">'Summary'!#REF!</definedName>
    <definedName name="NFLocalSource5">'Summary'!#REF!</definedName>
    <definedName name="NFLocalSource6">'Summary'!#REF!</definedName>
    <definedName name="NFLocalSource7">'Summary'!#REF!</definedName>
    <definedName name="NFLocalSource8">'Summary'!#REF!</definedName>
    <definedName name="NFLocalSource9">'Summary'!#REF!</definedName>
    <definedName name="NFLongTermEffect">'Summary'!#REF!</definedName>
    <definedName name="NFOpFundingAmount1">'Summary'!#REF!</definedName>
    <definedName name="NFOpFundingAmount10">'Summary'!#REF!</definedName>
    <definedName name="NFOpFundingAmount2">'Summary'!#REF!</definedName>
    <definedName name="NFOpFundingAmount3">'Summary'!#REF!</definedName>
    <definedName name="NFOpFundingAmount4">'Summary'!#REF!</definedName>
    <definedName name="NFOpFundingAmount5">'Summary'!#REF!</definedName>
    <definedName name="NFOpFundingAmount6">'Summary'!#REF!</definedName>
    <definedName name="NFOpFundingAmount7">'Summary'!#REF!</definedName>
    <definedName name="NFOpFundingAmount8">'Summary'!#REF!</definedName>
    <definedName name="NFOpFundingAmount9">'Summary'!#REF!</definedName>
    <definedName name="NFOpLocalSource1">'Summary'!#REF!</definedName>
    <definedName name="NFOpLocalSource10">'Summary'!#REF!</definedName>
    <definedName name="NFOpLocalSource2">'Summary'!#REF!</definedName>
    <definedName name="NFOpLocalSource3">'Summary'!#REF!</definedName>
    <definedName name="NFOpLocalSource4">'Summary'!#REF!</definedName>
    <definedName name="NFOpLocalSource5">'Summary'!#REF!</definedName>
    <definedName name="NFOpLocalSource6">'Summary'!#REF!</definedName>
    <definedName name="NFOpLocalSource7">'Summary'!#REF!</definedName>
    <definedName name="NFOpLocalSource8">'Summary'!#REF!</definedName>
    <definedName name="NFOpLocalSource9">'Summary'!#REF!</definedName>
    <definedName name="NFOpMatchSource1">'Summary'!#REF!</definedName>
    <definedName name="NFOpMatchSource10">'Summary'!#REF!</definedName>
    <definedName name="NFOpMatchSource19">'Summary'!#REF!</definedName>
    <definedName name="NFOpMatchSource2">'Summary'!#REF!</definedName>
    <definedName name="NFOpMatchSource3">'Summary'!#REF!</definedName>
    <definedName name="NFOpMatchSource4">'Summary'!#REF!</definedName>
    <definedName name="NFOpMatchSource5">'Summary'!#REF!</definedName>
    <definedName name="NFOpMatchSource6">'Summary'!#REF!</definedName>
    <definedName name="NFOpMatchSource7">'Summary'!#REF!</definedName>
    <definedName name="NFOpMatchSource8">'Summary'!#REF!</definedName>
    <definedName name="NFOpMatchSource9">'Summary'!#REF!</definedName>
    <definedName name="NFOpMatchValue1">'Summary'!#REF!</definedName>
    <definedName name="NFOpMatchValue10">'Summary'!#REF!</definedName>
    <definedName name="NFOpMatchValue19">'Summary'!#REF!</definedName>
    <definedName name="NFOpMatchValue2">'Summary'!#REF!</definedName>
    <definedName name="NFOpMatchValue3">'Summary'!#REF!</definedName>
    <definedName name="NFOpMatchValue4">'Summary'!#REF!</definedName>
    <definedName name="NFOpMatchValue5">'Summary'!#REF!</definedName>
    <definedName name="NFOpMatchValue6">'Summary'!#REF!</definedName>
    <definedName name="NFOpMatchValue7">'Summary'!#REF!</definedName>
    <definedName name="NFOpMatchValue8">'Summary'!#REF!</definedName>
    <definedName name="NFOpMatchValue9">'Summary'!#REF!</definedName>
    <definedName name="NFOpRevFares">'Summary'!#REF!</definedName>
    <definedName name="NFOtherOpExp1">'Summary'!#REF!</definedName>
    <definedName name="NFOtherOpExp1Amount">'Summary'!#REF!</definedName>
    <definedName name="NFOtherOpExp2">'Summary'!#REF!</definedName>
    <definedName name="NFOtherOpExp2Amount">'Summary'!#REF!</definedName>
    <definedName name="NFOtherOpExp3">'Summary'!#REF!</definedName>
    <definedName name="NFOtherOpExp3Amount">'Summary'!#REF!</definedName>
    <definedName name="NFOtherOpExp4">'Summary'!#REF!</definedName>
    <definedName name="NFOtherOpExp4Amount">'Summary'!#REF!</definedName>
    <definedName name="NFOtherOpExp5">'Summary'!#REF!</definedName>
    <definedName name="NFOtherOpExp5Amount">'Summary'!#REF!</definedName>
    <definedName name="NFOtherOpRevSource1">'Summary'!#REF!</definedName>
    <definedName name="NFOtherOpRevSource10">'Summary'!#REF!</definedName>
    <definedName name="NFOtherOpRevSource2">'Summary'!#REF!</definedName>
    <definedName name="NFOtherOpRevSource20">'Summary'!#REF!</definedName>
    <definedName name="NFOtherOpRevSource3">'Summary'!#REF!</definedName>
    <definedName name="NFOtherOpRevSource4">'Summary'!#REF!</definedName>
    <definedName name="NFOtherOpRevSource5">'Summary'!#REF!</definedName>
    <definedName name="NFOtherOpRevSource6">'Summary'!#REF!</definedName>
    <definedName name="NFOtherOpRevSource7">'Summary'!#REF!</definedName>
    <definedName name="NFOtherOpRevSource8">'Summary'!#REF!</definedName>
    <definedName name="NFOtherOpRevSource9">'Summary'!#REF!</definedName>
    <definedName name="NFOtherOpRevSourceAmount1">'Summary'!#REF!</definedName>
    <definedName name="NFOtherOpRevSourceAmount10">'Summary'!#REF!</definedName>
    <definedName name="NFOtherOpRevSourceAmount2">'Summary'!#REF!</definedName>
    <definedName name="NFOtherOpRevSourceAmount3">'Summary'!#REF!</definedName>
    <definedName name="NFOtherOpRevSourceAmount4">'Summary'!#REF!</definedName>
    <definedName name="NFOtherOpRevSourceAmount5">'Summary'!#REF!</definedName>
    <definedName name="NFOtherOpRevSourceAmount6">'Summary'!#REF!</definedName>
    <definedName name="NFOtherOpRevSourceAmount7">'Summary'!#REF!</definedName>
    <definedName name="NFOtherOpRevSourceAmount8">'Summary'!#REF!</definedName>
    <definedName name="NFOtherOpRevSourceAmount9">'Summary'!#REF!</definedName>
    <definedName name="NFOtherPersonnel1Name">'Summary'!#REF!</definedName>
    <definedName name="NFPersonnelBenefits">'Summary'!#REF!</definedName>
    <definedName name="NFPersonnelFringe">'Summary'!#REF!</definedName>
    <definedName name="NFPersonnelOther1">'Summary'!#REF!</definedName>
    <definedName name="NFPersonnelOther2">'Summary'!#REF!</definedName>
    <definedName name="NFPersonnelOther2Name">'Summary'!#REF!</definedName>
    <definedName name="NFPersonnelSalary">'Summary'!#REF!</definedName>
    <definedName name="NFPgMgProj">'HiddenSum'!#REF!</definedName>
    <definedName name="NFPlngMktg">'Summary'!#REF!</definedName>
    <definedName name="NFTiresMaint">'Summary'!#REF!</definedName>
    <definedName name="NFVehiIns">'Summary'!#REF!</definedName>
    <definedName name="NFVehLic">'Summary'!#REF!</definedName>
    <definedName name="NFVoucherExpenses">'Summary'!#REF!</definedName>
    <definedName name="no1">'HiddenSum'!$I$321</definedName>
    <definedName name="no2">'HiddenSum'!$I$322</definedName>
    <definedName name="no3">'HiddenSum'!$I$323</definedName>
    <definedName name="Operating">'HiddenSum'!#REF!</definedName>
    <definedName name="OperatingProjBudget">'HiddenSum'!#REF!</definedName>
    <definedName name="operator">'HiddenSum'!$B$25</definedName>
    <definedName name="OpExp10JARC">'HiddenSum'!$C$227</definedName>
    <definedName name="OpExp10NF">'HiddenSum'!$C$228</definedName>
    <definedName name="OpExp11JARC">'HiddenSum'!$C$229</definedName>
    <definedName name="OpExp11NF">'HiddenSum'!$C$230</definedName>
    <definedName name="OpExp12JARC">'HiddenSum'!$C$231</definedName>
    <definedName name="OpExp12NF">'HiddenSum'!$C$232</definedName>
    <definedName name="OpExp1JARC">'HiddenSum'!$C$198</definedName>
    <definedName name="OpExp1NF">'HiddenSum'!$C$199</definedName>
    <definedName name="OpExp2JARC">'HiddenSum'!$C$200</definedName>
    <definedName name="OpExp2NF">'HiddenSum'!$C$201</definedName>
    <definedName name="OpExp3JARC">'HiddenSum'!$C$202</definedName>
    <definedName name="OpExp3NF">'HiddenSum'!$C$203</definedName>
    <definedName name="OpExp4JARC">'HiddenSum'!$C$215</definedName>
    <definedName name="OpExp4NF">'HiddenSum'!$C$216</definedName>
    <definedName name="OpExp5JARC">'HiddenSum'!$C$217</definedName>
    <definedName name="OpExp5NF">'HiddenSum'!$C$218</definedName>
    <definedName name="OpExp6JARC">'HiddenSum'!$C$219</definedName>
    <definedName name="OpExp6NF">'HiddenSum'!$C$220</definedName>
    <definedName name="OpExp7JARC">'HiddenSum'!$C$221</definedName>
    <definedName name="OpExp7NF">'HiddenSum'!$C$222</definedName>
    <definedName name="OpExp8JARC">'HiddenSum'!$C$223</definedName>
    <definedName name="OpExp8NF">'HiddenSum'!$C$224</definedName>
    <definedName name="OpExp9JARC">'HiddenSum'!$C$225</definedName>
    <definedName name="OpExp9NF">'HiddenSum'!$C$226</definedName>
    <definedName name="opfedsharedollar">'HiddenSum'!$B$111</definedName>
    <definedName name="opfedsharepercent">'HiddenSum'!$C$111</definedName>
    <definedName name="oplocaldollar">'HiddenSum'!$B$112</definedName>
    <definedName name="oplocalpercent">'HiddenSum'!$C$112</definedName>
    <definedName name="OpPub">'HiddenSum'!$A$25</definedName>
    <definedName name="OpSubInKindMatch">'Summary'!$C$229</definedName>
    <definedName name="OpSubLocalFunds">'Summary'!$C$206</definedName>
    <definedName name="opt1coordination">'HiddenSum'!$B$295</definedName>
    <definedName name="opt1enhance">'HiddenSum'!$B$297</definedName>
    <definedName name="opt1promotion">'HiddenSum'!$B$296</definedName>
    <definedName name="opt2agenciestopurchase">'HiddenSum'!$B$300</definedName>
    <definedName name="opt2clientserved">'HiddenSum'!$B$301</definedName>
    <definedName name="opt2numberofent">'HiddenSum'!$B$299</definedName>
    <definedName name="opt2othertransit">'HiddenSum'!$B$302</definedName>
    <definedName name="PNPO">'HiddenSum'!$A$23</definedName>
    <definedName name="Population" localSheetId="1">'HiddenSum'!$B$64</definedName>
    <definedName name="_xlnm.Print_Area" localSheetId="0">'Summary'!$A$1:$I$273</definedName>
    <definedName name="_xlnm.Print_Titles" localSheetId="0">'Summary'!$1:$1</definedName>
    <definedName name="Private">'HiddenSum'!$B$23</definedName>
    <definedName name="PrivOp">'HiddenSum'!$A$26</definedName>
    <definedName name="privoperator">'HiddenSum'!$B$26</definedName>
    <definedName name="projectalteredno">'HiddenSum'!$B$335</definedName>
    <definedName name="projectalteredyes">'HiddenSum'!$B$334</definedName>
    <definedName name="ProjectName">'HiddenSum'!$B$30</definedName>
    <definedName name="ProjectTitle" localSheetId="1">'HiddenSum'!$B$30</definedName>
    <definedName name="ProjectType">'HiddenSum'!$B$34</definedName>
    <definedName name="ProjReduceDep">'HiddenSum'!#REF!</definedName>
    <definedName name="Proposed_Project_Status">'Summary'!$C$247</definedName>
    <definedName name="ProposedProj" localSheetId="1">'HiddenSum'!#REF!</definedName>
    <definedName name="ProposedProjStatus">'Summary'!$C$247</definedName>
    <definedName name="Prviate">'HiddenSum'!$B$23</definedName>
    <definedName name="PTCapital">'HiddenSum'!$B$35</definedName>
    <definedName name="PTOpCap">'HiddenSum'!$B$37</definedName>
    <definedName name="PTOperating">'HiddenSum'!$B$36</definedName>
    <definedName name="Quantity">'Summary'!$C$70</definedName>
    <definedName name="ratingoption1">'HiddenSum'!$B$292</definedName>
    <definedName name="ratingoption2">'HiddenSum'!$B$293</definedName>
    <definedName name="RedDepExp">'HiddenSum'!$B$290</definedName>
    <definedName name="ReduceDepNo">'HiddenSum'!$B$288</definedName>
    <definedName name="ReduceDepYes">'HiddenSum'!$B$289</definedName>
    <definedName name="Section1">'Summary'!$A$4</definedName>
    <definedName name="Section2">'Summary'!$A$18</definedName>
    <definedName name="Section3">'Summary'!$A$31</definedName>
    <definedName name="Section4">'Summary'!$A$55</definedName>
    <definedName name="Section5">'Summary'!$A$235</definedName>
    <definedName name="Section5307">'HiddenSum'!$B$19</definedName>
    <definedName name="Section5310">'HiddenSum'!$B$20</definedName>
    <definedName name="Section5311">'HiddenSum'!$B$21</definedName>
    <definedName name="Section6">'Summary'!$A$246</definedName>
    <definedName name="Section7">'Summary'!$A$268</definedName>
    <definedName name="servicearea">'HiddenSum'!$B$16</definedName>
    <definedName name="state">'HiddenSum'!$B$12</definedName>
    <definedName name="TargetPopulation" localSheetId="1">'HiddenSum'!$B$56</definedName>
    <definedName name="telephone">'HiddenSum'!$B$14</definedName>
    <definedName name="TerminatedProjs" localSheetId="1">'HiddenSum'!#REF!</definedName>
    <definedName name="TerminatedProjsYes">'HiddenSum'!$B$53</definedName>
    <definedName name="Threshold1">'HiddenSum'!$C$321</definedName>
    <definedName name="Threshold2">'HiddenSum'!$C$322</definedName>
    <definedName name="Threshold3">'HiddenSum'!$C$323</definedName>
    <definedName name="totalcapexp">'HiddenSum'!$B$106</definedName>
    <definedName name="totalcapitalexpenses">'Summary'!#REF!</definedName>
    <definedName name="totalopexp">'HiddenSum'!$B$110</definedName>
    <definedName name="totaloprev">'Summary'!$B$183</definedName>
    <definedName name="TotalProjBudget" localSheetId="1">'HiddenSum'!#REF!</definedName>
    <definedName name="TotalProjectBudget">'HiddenSum'!$B$49</definedName>
    <definedName name="TrainingWorkshop" localSheetId="1">'HiddenSum'!$B$49</definedName>
    <definedName name="tribal">'HiddenSum'!$B$27</definedName>
    <definedName name="Tribe">'HiddenSum'!$A$27</definedName>
    <definedName name="UnmetTransitNeeds" localSheetId="1">'HiddenSum'!$B$65</definedName>
    <definedName name="wkshp1">'HiddenSum'!$B$41</definedName>
    <definedName name="wkshp2">'HiddenSum'!$B$42</definedName>
    <definedName name="wkshp3">'HiddenSum'!$B$43</definedName>
    <definedName name="wkshp4">'HiddenSum'!$B$44</definedName>
    <definedName name="wkshp5">'HiddenSum'!$B$45</definedName>
    <definedName name="wkshp6">'HiddenSum'!$B$46</definedName>
    <definedName name="WkshpAttendance">'HiddenSum'!$B$39</definedName>
    <definedName name="workshop1">'HiddenSum'!$A$41</definedName>
    <definedName name="workshop2">'HiddenSum'!$A$42</definedName>
    <definedName name="workshop3">'HiddenSum'!$A$43</definedName>
    <definedName name="workshop4">'HiddenSum'!$A$44</definedName>
    <definedName name="workshop5">'HiddenSum'!$A$45</definedName>
    <definedName name="workshop6">'HiddenSum'!$A$46</definedName>
    <definedName name="YearReq1">'HiddenSum'!$B$285</definedName>
    <definedName name="YearReq2">'HiddenSum'!$B$286</definedName>
    <definedName name="yes1">'HiddenSum'!$H$321</definedName>
    <definedName name="yes2">'HiddenSum'!$H$322</definedName>
    <definedName name="yes3">'HiddenSum'!$H$323</definedName>
    <definedName name="zip">'HiddenSum'!$B$13</definedName>
  </definedNames>
  <calcPr fullCalcOnLoad="1"/>
</workbook>
</file>

<file path=xl/sharedStrings.xml><?xml version="1.0" encoding="utf-8"?>
<sst xmlns="http://schemas.openxmlformats.org/spreadsheetml/2006/main" count="403" uniqueCount="247">
  <si>
    <t>Contact Person</t>
  </si>
  <si>
    <t>Primary Service Area</t>
  </si>
  <si>
    <t>Private, Non-Profit Organization</t>
  </si>
  <si>
    <t>State or Local Government Authority</t>
  </si>
  <si>
    <t>Operator of Public Transportation Service</t>
  </si>
  <si>
    <t>Private Operator of Public Transportation Services</t>
  </si>
  <si>
    <t>Tribal Government</t>
  </si>
  <si>
    <t>Section 5310</t>
  </si>
  <si>
    <t>Section 5311</t>
  </si>
  <si>
    <t>N/A</t>
  </si>
  <si>
    <t>City</t>
  </si>
  <si>
    <t>State</t>
  </si>
  <si>
    <t>Address 1</t>
  </si>
  <si>
    <t>Address 2</t>
  </si>
  <si>
    <t>Section 1: Applicant Information</t>
  </si>
  <si>
    <t>Your organization is a recipient under the following programs:</t>
  </si>
  <si>
    <t>Agency/Organization Name</t>
  </si>
  <si>
    <t>Zip Code</t>
  </si>
  <si>
    <t>Email Address</t>
  </si>
  <si>
    <t>Telephone Number</t>
  </si>
  <si>
    <t>Agency/Organization Information</t>
  </si>
  <si>
    <t>This is the 2009 Application for ODOT Funding….</t>
  </si>
  <si>
    <t>Section 2: Applicant Qualifications</t>
  </si>
  <si>
    <t>Project Information</t>
  </si>
  <si>
    <t>Project Title</t>
  </si>
  <si>
    <t>Funding Program</t>
  </si>
  <si>
    <t>Training Workshop Attendance</t>
  </si>
  <si>
    <t>Project Type</t>
  </si>
  <si>
    <t>Total Project Budget</t>
  </si>
  <si>
    <t>FTA Funds Requested</t>
  </si>
  <si>
    <t>Terminated State DOT or DHS Projects in Last five (5) Years</t>
  </si>
  <si>
    <t>Section 3: Applicant Qualifications</t>
  </si>
  <si>
    <t>Project Scope &amp; Consistency</t>
  </si>
  <si>
    <t xml:space="preserve">Target Population of Proposed Project </t>
  </si>
  <si>
    <t>The project will conduct eligible activites within the following categories:</t>
  </si>
  <si>
    <t>Geographical Size of Project Service Area (square miles)</t>
  </si>
  <si>
    <t>Population of Project Service Area</t>
  </si>
  <si>
    <t>Proposed Project will address the following unmet transit needs</t>
  </si>
  <si>
    <t>Access to jobs:  Impacts of the reduction in JARC funding</t>
  </si>
  <si>
    <t>Access to jobs:  Second or third shift jobs</t>
  </si>
  <si>
    <t>Marketing of Services:  Public Inofrmation program or mobility manager</t>
  </si>
  <si>
    <t>Marketing of Services:  Reduce time required for reservations</t>
  </si>
  <si>
    <t>Need for More Services:  Intercity/town transportation</t>
  </si>
  <si>
    <t>Need for More Services:  Increase utilization of existing service</t>
  </si>
  <si>
    <t>Need for More Services:  Evening and Weekend transportation for all purposes</t>
  </si>
  <si>
    <t>Need for More Services:  Broaden eligibility for medical transportation for low income persons</t>
  </si>
  <si>
    <t>Need for More Services:  Provide More affordable transit</t>
  </si>
  <si>
    <t>Improve the Efficiency of Service:  Improving Connectivity of Services</t>
  </si>
  <si>
    <t>Improve the Efficiency of Service:  Rising Cost of providing service</t>
  </si>
  <si>
    <t>Improve the Efficiency of Service:  Long wait time for return trips from out-of-town destinations</t>
  </si>
  <si>
    <t>Improve the Efficiency of Service:  Improve driver retention</t>
  </si>
  <si>
    <t>Capital Improvements:  Lack of appropriate ADA accessible passenger waiting areas</t>
  </si>
  <si>
    <t>Capital Improvements:  Lack of number of ADA accessible vehicles</t>
  </si>
  <si>
    <t>Total Annual Project Budget</t>
  </si>
  <si>
    <t>Number of years of funding requested</t>
  </si>
  <si>
    <t>Future operating funds identified</t>
  </si>
  <si>
    <t>Funding commitment beyond grant period</t>
  </si>
  <si>
    <t>Project reduces dependency on federal funding over time</t>
  </si>
  <si>
    <t>Explanation for reduced dependency</t>
  </si>
  <si>
    <t>Capital Federal Share</t>
  </si>
  <si>
    <t>Capital Local Match</t>
  </si>
  <si>
    <t>Operating Federal Share</t>
  </si>
  <si>
    <t>Operating Local Match</t>
  </si>
  <si>
    <t>Marketing Federal Share</t>
  </si>
  <si>
    <t>Marketing Local Match</t>
  </si>
  <si>
    <t>Planning Federal Share</t>
  </si>
  <si>
    <t>Planning Local Match</t>
  </si>
  <si>
    <t>Description of Coordination with Other Transit Providers/Programs</t>
  </si>
  <si>
    <t>Description of How Project will be Promoted</t>
  </si>
  <si>
    <t>Description of how Project will Enhance or Augment Existing Transit Service</t>
  </si>
  <si>
    <t>Number of Entities Providing Matching Funds for Project</t>
  </si>
  <si>
    <t>Agencies to Purchase Service</t>
  </si>
  <si>
    <t>Agencies with Clients Served</t>
  </si>
  <si>
    <t>Agencies Connected to Other Transit-related Services</t>
  </si>
  <si>
    <t>Goals of Proposed Project (New)</t>
  </si>
  <si>
    <t>Capital Projects Performance Plan (New)</t>
  </si>
  <si>
    <t>Operating Projects Performance Plan (New)</t>
  </si>
  <si>
    <t>Goals of Proposed Project (Existing without previous Perf. Plan)</t>
  </si>
  <si>
    <t>Service Effectiveness for Past Year (EP w/o)</t>
  </si>
  <si>
    <t>Cost Efficiency (EP w/o)</t>
  </si>
  <si>
    <t>Cost Effectiveness (EP w/o)</t>
  </si>
  <si>
    <t>Performance Measures and Thresholds under Previous Plan</t>
  </si>
  <si>
    <t>Corrective Action Plan (if applicable)</t>
  </si>
  <si>
    <t>Performance Measure from Corrective Action Plan Achieved within past Quarter</t>
  </si>
  <si>
    <t>Reasonable Cause Identified for Non-achievement of Unmet Performance Measure(s)</t>
  </si>
  <si>
    <t>Describe Cause (if applicable)</t>
  </si>
  <si>
    <t>Corrective Action Defined for Subsequent Years</t>
  </si>
  <si>
    <t>Innovative Technologies Will Be Employed in Proposed Project</t>
  </si>
  <si>
    <t>Explain Innovative Technologies</t>
  </si>
  <si>
    <t>Project can be Altered in Scale, Budget, or Duration without Minimizing Effect on Gap Mitigation</t>
  </si>
  <si>
    <t>Description of Modifications</t>
  </si>
  <si>
    <t>Applicant Status</t>
  </si>
  <si>
    <t>Core Requirements</t>
  </si>
  <si>
    <t>Section 5307</t>
  </si>
  <si>
    <t>Section 5316: JARC</t>
  </si>
  <si>
    <t>Section 5317: New Freedom</t>
  </si>
  <si>
    <t>Capital</t>
  </si>
  <si>
    <t>Operating</t>
  </si>
  <si>
    <t>Did Not Attend</t>
  </si>
  <si>
    <t>Section 3: Project Scope and Consistency</t>
  </si>
  <si>
    <t>Proposed Project will address the following unmet transit needs:</t>
  </si>
  <si>
    <t>5316 JARC</t>
  </si>
  <si>
    <t>5317 New Freedom</t>
  </si>
  <si>
    <t>Rural</t>
  </si>
  <si>
    <t>Urban</t>
  </si>
  <si>
    <t xml:space="preserve">Small Urban </t>
  </si>
  <si>
    <t>Capital Expense</t>
  </si>
  <si>
    <t>Quantity</t>
  </si>
  <si>
    <t>Unit Price</t>
  </si>
  <si>
    <t>Subtotal</t>
  </si>
  <si>
    <t>Local Funding Source</t>
  </si>
  <si>
    <t>Funding Amount</t>
  </si>
  <si>
    <t>Local Match Source or Service</t>
  </si>
  <si>
    <t>Value</t>
  </si>
  <si>
    <t>Funding Sources Beyond Grant Period</t>
  </si>
  <si>
    <t>Amount</t>
  </si>
  <si>
    <t>Funding Source</t>
  </si>
  <si>
    <t>Long-term effect to fund project beyond grant period</t>
  </si>
  <si>
    <t>Expenses Related to Voucher Program (excl. salaries)</t>
  </si>
  <si>
    <t>Driver Costs (Salaries, Fringe Benefits, etc.)</t>
  </si>
  <si>
    <t>Fuel and Oil</t>
  </si>
  <si>
    <t>Tires, Parts, Maintenance</t>
  </si>
  <si>
    <t>Vehicle License(s)</t>
  </si>
  <si>
    <t xml:space="preserve">Vehicle Insurance </t>
  </si>
  <si>
    <t xml:space="preserve">Other Personnel Costs </t>
  </si>
  <si>
    <t>Salaries</t>
  </si>
  <si>
    <t>Fringe</t>
  </si>
  <si>
    <t>Benefits</t>
  </si>
  <si>
    <t>Fare Revenue</t>
  </si>
  <si>
    <t>Source</t>
  </si>
  <si>
    <t>Section 4: Project Budgets</t>
  </si>
  <si>
    <t>JARC BUDGET</t>
  </si>
  <si>
    <t>NEW FREEDOM BUDGET</t>
  </si>
  <si>
    <t>PROJECT BUDGET SUMMARY</t>
  </si>
  <si>
    <t>ADDITIONAL PROJECT FUNDING QUESTIONS</t>
  </si>
  <si>
    <t>CAPITAL PROJECT BUDGET</t>
  </si>
  <si>
    <t>Capital Local Funding Sources</t>
  </si>
  <si>
    <t>Capital In-Kind Local Match</t>
  </si>
  <si>
    <t>Planning and Marketing Projects</t>
  </si>
  <si>
    <t>OPERATING PROJECT BUDGET</t>
  </si>
  <si>
    <t>Expense</t>
  </si>
  <si>
    <t>Cost</t>
  </si>
  <si>
    <t>Operating Expenses - Personnel/Voucher Program</t>
  </si>
  <si>
    <t xml:space="preserve">Other Operating Expenses </t>
  </si>
  <si>
    <t>Operating Revenue</t>
  </si>
  <si>
    <t>Operating Local Funding Sources</t>
  </si>
  <si>
    <t>Operating In-Kind Local Match</t>
  </si>
  <si>
    <t>JARC</t>
  </si>
  <si>
    <t>New Freedom</t>
  </si>
  <si>
    <t>Total - JARC Capital Expenses</t>
  </si>
  <si>
    <t>Total - New Freedom Capital Expenses</t>
  </si>
  <si>
    <t>Total Capital Expenses</t>
  </si>
  <si>
    <t>Subtotal - Local Funding Sources</t>
  </si>
  <si>
    <t>Subtotal - In-Kind Local Match</t>
  </si>
  <si>
    <t>Total - JARC Operating Expenses</t>
  </si>
  <si>
    <t>Total Operating Expenses</t>
  </si>
  <si>
    <t>Total - New Freedom Operating Expenses</t>
  </si>
  <si>
    <t>`</t>
  </si>
  <si>
    <t>Planning &amp; Marketing Project (no)</t>
  </si>
  <si>
    <t>yes</t>
  </si>
  <si>
    <t>Yes</t>
  </si>
  <si>
    <t>Number of years of funding requested                               (One)</t>
  </si>
  <si>
    <t>Two</t>
  </si>
  <si>
    <t xml:space="preserve">Future operating funds identified                                       </t>
  </si>
  <si>
    <t>Project reduces dependency on federal funding over time      No</t>
  </si>
  <si>
    <t>Capital Expenses</t>
  </si>
  <si>
    <t>Operating Expenses</t>
  </si>
  <si>
    <t xml:space="preserve">Capital Local Match </t>
  </si>
  <si>
    <t>Operating Federal Share (must not exceed 50% of Operating Budget)</t>
  </si>
  <si>
    <t>Capital Federal Share (must not exceed 80% of Capital Budget)</t>
  </si>
  <si>
    <t>Capital Shares</t>
  </si>
  <si>
    <t>Operating Shares</t>
  </si>
  <si>
    <t>Capital Share</t>
  </si>
  <si>
    <t>Operating Share</t>
  </si>
  <si>
    <t>Dollar Amount</t>
  </si>
  <si>
    <t>Match Ratio</t>
  </si>
  <si>
    <t xml:space="preserve">Total Project Budget </t>
  </si>
  <si>
    <t xml:space="preserve">Operating </t>
  </si>
  <si>
    <t>Total - JARCCapital Expenses</t>
  </si>
  <si>
    <t>Units</t>
  </si>
  <si>
    <t>Subtotal - Capital Non-FTA Sources</t>
  </si>
  <si>
    <t>Subtotal - Capital Local Match Sources</t>
  </si>
  <si>
    <t>Local In-Kind Match Sources</t>
  </si>
  <si>
    <t>Planning &amp; Marketing Projects</t>
  </si>
  <si>
    <t>Is this a planning and/or marketing project?</t>
  </si>
  <si>
    <t>Non-FTA Funding Source</t>
  </si>
  <si>
    <t>Operating Non-FTA Funding Sources</t>
  </si>
  <si>
    <t>Capital &amp; Operating</t>
  </si>
  <si>
    <t xml:space="preserve">Project Scope </t>
  </si>
  <si>
    <t>Project Consistency</t>
  </si>
  <si>
    <t>Project Budget Summary</t>
  </si>
  <si>
    <t>Match Ratios</t>
  </si>
  <si>
    <t>Capital Project Budget</t>
  </si>
  <si>
    <t xml:space="preserve">Subtotal - Funding Sources Beyond Grant Period </t>
  </si>
  <si>
    <t>Operating Project Budget</t>
  </si>
  <si>
    <t>Subtotal - JARC Operating Expenses</t>
  </si>
  <si>
    <t>Revenue Source</t>
  </si>
  <si>
    <t xml:space="preserve">Total Operating Revenue </t>
  </si>
  <si>
    <t>Capital Non-FTA Funding Sources</t>
  </si>
  <si>
    <t>Capital Local In-Kind Match Sources</t>
  </si>
  <si>
    <t>Additional Project Funding Questions</t>
  </si>
  <si>
    <t>Section 5: Coordination/Funding Mix Rating</t>
  </si>
  <si>
    <t>Rating Option Selected</t>
  </si>
  <si>
    <t>Section 6:  Performance Plan</t>
  </si>
  <si>
    <t>Section 7:  Additional Details</t>
  </si>
  <si>
    <t>Telephone</t>
  </si>
  <si>
    <t>Rating Option 1</t>
  </si>
  <si>
    <t>Rating Option 2</t>
  </si>
  <si>
    <t>Rating Option Selected - 1</t>
  </si>
  <si>
    <t>Rating Option Selected - 2</t>
  </si>
  <si>
    <t>Proposed Project Status</t>
  </si>
  <si>
    <t>New</t>
  </si>
  <si>
    <t>Existing without Previous Performance Plan</t>
  </si>
  <si>
    <t>Existing with Previous Performance Plan</t>
  </si>
  <si>
    <t>Project can be Altered in Scale, Budget, or Duration without Minimizing Effect on Gap Mitigation (yes)</t>
  </si>
  <si>
    <t>Project can be Altered in Scale, Budget, or Duration without Minimizing Effect on Gap Mitigation (no)</t>
  </si>
  <si>
    <t xml:space="preserve">Goals of Proposed Project </t>
  </si>
  <si>
    <t xml:space="preserve">Service Effectiveness for Past Year </t>
  </si>
  <si>
    <t xml:space="preserve">Cost Efficiency </t>
  </si>
  <si>
    <t xml:space="preserve">Cost Effectiveness </t>
  </si>
  <si>
    <t>2009 Oklahoma DOT 
JARC/New Freedom Funding Application</t>
  </si>
  <si>
    <t>2009 Oklahoma Department of Transportation 
JARC/New Freedom Funding Application</t>
  </si>
  <si>
    <t>Workshop Attendee</t>
  </si>
  <si>
    <t>Total Population of Project Sponsor Service Area</t>
  </si>
  <si>
    <t>Workshop Attendance</t>
  </si>
  <si>
    <t>Geographical Size of Project Sponsor Service Area (square miles)</t>
  </si>
  <si>
    <t>Identified Gaps</t>
  </si>
  <si>
    <t>Proposed Response</t>
  </si>
  <si>
    <t>Performance Measure</t>
  </si>
  <si>
    <t>Threshold</t>
  </si>
  <si>
    <t>Measure Achieved?</t>
  </si>
  <si>
    <t>Corrective Action Plan implemented for performance measures not met?</t>
  </si>
  <si>
    <t>Was corrective action plan identified for measures not met?</t>
  </si>
  <si>
    <t>Description of corrective action plan.</t>
  </si>
  <si>
    <t>Existing Project without Previous Performance Plan</t>
  </si>
  <si>
    <t>Existing Project with Previous Performance Plan</t>
  </si>
  <si>
    <t>New Project</t>
  </si>
  <si>
    <t>The project will conduct eligible activities within the following categories:</t>
  </si>
  <si>
    <t>Marketing of Services:  Public Information program or mobility manager</t>
  </si>
  <si>
    <t>Ponca City, City Hall, 3/10/09</t>
  </si>
  <si>
    <t>Woodward, Woodward Public Library, 3/11/09</t>
  </si>
  <si>
    <t>Sand Springs, Charles Page Library, 3/11/09</t>
  </si>
  <si>
    <t>Lawton, Museum of the Great Plains, 3/11/09</t>
  </si>
  <si>
    <t>McAlester, SE EXPO Center, 3/11/09</t>
  </si>
  <si>
    <t>Norman, Norman City Library, 3/12/09</t>
  </si>
  <si>
    <t>Please print and submit this page to be considered for JARC and New Freedom funding. Please refer to Application Guide for more information.</t>
  </si>
  <si>
    <t>Section 4: Project Budget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</si>
</sst>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#\-####"/>
    <numFmt numFmtId="165" formatCode="#####\-####"/>
    <numFmt numFmtId="166" formatCode="#####"/>
    <numFmt numFmtId="167" formatCode="\(###\)\-###\-####"/>
    <numFmt numFmtId="168" formatCode="\(###\)\ ###\-####"/>
    <numFmt numFmtId="169" formatCode="&quot;$&quot;#,##0"/>
    <numFmt numFmtId="170" formatCode="[$-409]dddd\,\ mmmm\ dd\,\ yyyy"/>
    <numFmt numFmtId="171" formatCode="[$-409]h:mm:ss\ AM/PM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38"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9"/>
      <name val="Times New Roman"/>
      <family val="1"/>
    </font>
    <font>
      <b/>
      <i/>
      <sz val="11"/>
      <color indexed="16"/>
      <name val="Times New Roman"/>
      <family val="1"/>
    </font>
    <font>
      <b/>
      <sz val="11"/>
      <color indexed="16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60"/>
      <name val="Arial"/>
      <family val="2"/>
    </font>
    <font>
      <b/>
      <sz val="22"/>
      <color indexed="60"/>
      <name val="Arial"/>
      <family val="2"/>
    </font>
    <font>
      <sz val="11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hidden="1"/>
    </xf>
    <xf numFmtId="168" fontId="2" fillId="0" borderId="10" xfId="0" applyNumberFormat="1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 wrapText="1" indent="2"/>
    </xf>
    <xf numFmtId="0" fontId="0" fillId="0" borderId="10" xfId="0" applyBorder="1" applyAlignment="1">
      <alignment horizontal="left" indent="1"/>
    </xf>
    <xf numFmtId="0" fontId="2" fillId="0" borderId="11" xfId="0" applyFont="1" applyBorder="1" applyAlignment="1">
      <alignment/>
    </xf>
    <xf numFmtId="6" fontId="2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9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72" fontId="0" fillId="0" borderId="1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2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172" fontId="0" fillId="0" borderId="15" xfId="0" applyNumberFormat="1" applyBorder="1" applyAlignment="1">
      <alignment vertical="center"/>
    </xf>
    <xf numFmtId="172" fontId="0" fillId="0" borderId="11" xfId="0" applyNumberForma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172" fontId="0" fillId="0" borderId="13" xfId="0" applyNumberFormat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172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169" fontId="0" fillId="0" borderId="10" xfId="0" applyNumberFormat="1" applyBorder="1" applyAlignment="1">
      <alignment vertical="center"/>
    </xf>
    <xf numFmtId="169" fontId="0" fillId="0" borderId="10" xfId="0" applyNumberFormat="1" applyBorder="1" applyAlignment="1">
      <alignment horizontal="center" vertical="center"/>
    </xf>
    <xf numFmtId="169" fontId="0" fillId="0" borderId="12" xfId="0" applyNumberForma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 indent="1"/>
    </xf>
    <xf numFmtId="172" fontId="0" fillId="0" borderId="10" xfId="0" applyNumberFormat="1" applyBorder="1" applyAlignment="1">
      <alignment horizontal="left" vertical="center" indent="1"/>
    </xf>
    <xf numFmtId="172" fontId="0" fillId="0" borderId="21" xfId="0" applyNumberFormat="1" applyBorder="1" applyAlignment="1">
      <alignment vertical="center"/>
    </xf>
    <xf numFmtId="172" fontId="0" fillId="0" borderId="22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169" fontId="2" fillId="0" borderId="10" xfId="0" applyNumberFormat="1" applyFont="1" applyBorder="1" applyAlignment="1">
      <alignment horizontal="center" vertical="center"/>
    </xf>
    <xf numFmtId="9" fontId="2" fillId="0" borderId="10" xfId="58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 indent="2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left" wrapText="1"/>
    </xf>
    <xf numFmtId="0" fontId="2" fillId="7" borderId="10" xfId="0" applyFont="1" applyFill="1" applyBorder="1" applyAlignment="1">
      <alignment/>
    </xf>
    <xf numFmtId="0" fontId="0" fillId="7" borderId="0" xfId="0" applyFill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172" fontId="0" fillId="0" borderId="12" xfId="0" applyNumberFormat="1" applyBorder="1" applyAlignment="1">
      <alignment horizontal="center" vertical="center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center" wrapText="1"/>
      <protection hidden="1"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22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9" fontId="2" fillId="0" borderId="10" xfId="0" applyNumberFormat="1" applyFont="1" applyBorder="1" applyAlignment="1">
      <alignment vertical="center"/>
    </xf>
    <xf numFmtId="169" fontId="2" fillId="0" borderId="10" xfId="58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14" fillId="0" borderId="15" xfId="0" applyFont="1" applyFill="1" applyBorder="1" applyAlignment="1" applyProtection="1">
      <alignment vertical="center" wrapText="1"/>
      <protection hidden="1"/>
    </xf>
    <xf numFmtId="0" fontId="15" fillId="0" borderId="10" xfId="0" applyFont="1" applyFill="1" applyBorder="1" applyAlignment="1" applyProtection="1">
      <alignment horizontal="left" vertical="center" wrapText="1" indent="1"/>
      <protection hidden="1"/>
    </xf>
    <xf numFmtId="0" fontId="2" fillId="0" borderId="10" xfId="0" applyFont="1" applyFill="1" applyBorder="1" applyAlignment="1" applyProtection="1">
      <alignment horizontal="left" vertical="center" wrapText="1" indent="2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0" fontId="2" fillId="0" borderId="10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>
      <alignment horizontal="left" vertical="center" wrapText="1"/>
    </xf>
    <xf numFmtId="169" fontId="2" fillId="0" borderId="10" xfId="0" applyNumberFormat="1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>
      <alignment horizontal="left" wrapText="1"/>
    </xf>
    <xf numFmtId="0" fontId="16" fillId="0" borderId="10" xfId="0" applyFont="1" applyFill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 applyProtection="1">
      <alignment horizontal="center" vertical="center"/>
      <protection hidden="1"/>
    </xf>
    <xf numFmtId="169" fontId="4" fillId="0" borderId="10" xfId="0" applyNumberFormat="1" applyFont="1" applyBorder="1" applyAlignment="1" applyProtection="1">
      <alignment horizontal="center" vertical="center"/>
      <protection hidden="1"/>
    </xf>
    <xf numFmtId="169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169" fontId="2" fillId="0" borderId="10" xfId="0" applyNumberFormat="1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16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>
      <alignment horizontal="center" vertical="center" wrapText="1"/>
    </xf>
    <xf numFmtId="5" fontId="2" fillId="0" borderId="10" xfId="44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 wrapText="1"/>
    </xf>
    <xf numFmtId="5" fontId="2" fillId="0" borderId="10" xfId="44" applyNumberFormat="1" applyFont="1" applyBorder="1" applyAlignment="1">
      <alignment horizontal="right" vertical="center"/>
    </xf>
    <xf numFmtId="0" fontId="13" fillId="7" borderId="10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>
      <alignment horizontal="left" vertical="center" wrapText="1"/>
    </xf>
    <xf numFmtId="169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12" fillId="24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13" fillId="7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3" fillId="7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>
      <alignment horizontal="right" vertical="center" wrapText="1"/>
    </xf>
    <xf numFmtId="5" fontId="2" fillId="0" borderId="10" xfId="44" applyNumberFormat="1" applyFont="1" applyBorder="1" applyAlignment="1">
      <alignment horizontal="right" vertical="center" wrapText="1"/>
    </xf>
    <xf numFmtId="1" fontId="2" fillId="0" borderId="15" xfId="0" applyNumberFormat="1" applyFont="1" applyBorder="1" applyAlignment="1" applyProtection="1">
      <alignment horizontal="left" vertical="center" wrapText="1"/>
      <protection hidden="1"/>
    </xf>
    <xf numFmtId="1" fontId="2" fillId="0" borderId="16" xfId="0" applyNumberFormat="1" applyFont="1" applyBorder="1" applyAlignment="1" applyProtection="1">
      <alignment horizontal="left" vertical="center" wrapText="1"/>
      <protection hidden="1"/>
    </xf>
    <xf numFmtId="1" fontId="2" fillId="0" borderId="11" xfId="0" applyNumberFormat="1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>
      <alignment horizontal="left" vertical="center"/>
    </xf>
    <xf numFmtId="0" fontId="2" fillId="20" borderId="10" xfId="0" applyFont="1" applyFill="1" applyBorder="1" applyAlignment="1">
      <alignment horizontal="center"/>
    </xf>
    <xf numFmtId="169" fontId="2" fillId="0" borderId="10" xfId="0" applyNumberFormat="1" applyFont="1" applyBorder="1" applyAlignment="1">
      <alignment horizontal="right"/>
    </xf>
    <xf numFmtId="0" fontId="16" fillId="0" borderId="10" xfId="0" applyFont="1" applyFill="1" applyBorder="1" applyAlignment="1" applyProtection="1">
      <alignment horizontal="right" vertical="center" wrapText="1"/>
      <protection hidden="1"/>
    </xf>
    <xf numFmtId="169" fontId="2" fillId="0" borderId="10" xfId="0" applyNumberFormat="1" applyFont="1" applyBorder="1" applyAlignment="1" applyProtection="1">
      <alignment horizontal="left" vertical="center"/>
      <protection hidden="1"/>
    </xf>
    <xf numFmtId="169" fontId="2" fillId="0" borderId="10" xfId="0" applyNumberFormat="1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2" fillId="2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69" fontId="2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" fillId="20" borderId="10" xfId="0" applyFont="1" applyFill="1" applyBorder="1" applyAlignment="1">
      <alignment horizontal="left"/>
    </xf>
    <xf numFmtId="5" fontId="2" fillId="0" borderId="15" xfId="44" applyNumberFormat="1" applyFont="1" applyBorder="1" applyAlignment="1">
      <alignment horizontal="right" vertical="center" wrapText="1"/>
    </xf>
    <xf numFmtId="5" fontId="2" fillId="0" borderId="11" xfId="44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0" fontId="13" fillId="7" borderId="15" xfId="0" applyFont="1" applyFill="1" applyBorder="1" applyAlignment="1">
      <alignment horizontal="left" vertical="center" wrapText="1"/>
    </xf>
    <xf numFmtId="0" fontId="13" fillId="7" borderId="16" xfId="0" applyFont="1" applyFill="1" applyBorder="1" applyAlignment="1">
      <alignment horizontal="left" vertical="center" wrapText="1"/>
    </xf>
    <xf numFmtId="0" fontId="13" fillId="7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 applyProtection="1">
      <alignment horizontal="left" vertical="center" wrapText="1"/>
      <protection hidden="1"/>
    </xf>
    <xf numFmtId="9" fontId="2" fillId="0" borderId="10" xfId="58" applyNumberFormat="1" applyFont="1" applyBorder="1" applyAlignment="1" applyProtection="1">
      <alignment horizontal="center" vertical="center"/>
      <protection hidden="1"/>
    </xf>
    <xf numFmtId="3" fontId="2" fillId="0" borderId="10" xfId="0" applyNumberFormat="1" applyFont="1" applyBorder="1" applyAlignment="1" applyProtection="1">
      <alignment horizontal="left" vertical="center"/>
      <protection hidden="1"/>
    </xf>
    <xf numFmtId="3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167" fontId="2" fillId="0" borderId="10" xfId="0" applyNumberFormat="1" applyFont="1" applyBorder="1" applyAlignment="1" applyProtection="1">
      <alignment horizontal="left" vertical="center" wrapText="1"/>
      <protection hidden="1"/>
    </xf>
    <xf numFmtId="0" fontId="35" fillId="0" borderId="0" xfId="0" applyFont="1" applyAlignment="1" applyProtection="1">
      <alignment horizontal="left" vertical="center" wrapText="1" indent="12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25" xfId="0" applyFont="1" applyBorder="1" applyAlignment="1" applyProtection="1">
      <alignment horizontal="left" vertical="center" wrapText="1"/>
      <protection hidden="1"/>
    </xf>
    <xf numFmtId="169" fontId="36" fillId="0" borderId="15" xfId="0" applyNumberFormat="1" applyFont="1" applyFill="1" applyBorder="1" applyAlignment="1" applyProtection="1">
      <alignment horizontal="left" vertical="center" wrapText="1"/>
      <protection hidden="1"/>
    </xf>
    <xf numFmtId="169" fontId="36" fillId="0" borderId="16" xfId="0" applyNumberFormat="1" applyFont="1" applyFill="1" applyBorder="1" applyAlignment="1" applyProtection="1">
      <alignment horizontal="left" vertical="center" wrapText="1"/>
      <protection hidden="1"/>
    </xf>
    <xf numFmtId="169" fontId="36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" fillId="20" borderId="10" xfId="0" applyFont="1" applyFill="1" applyBorder="1" applyAlignment="1" applyProtection="1">
      <alignment horizontal="center" vertical="center"/>
      <protection hidden="1"/>
    </xf>
    <xf numFmtId="0" fontId="2" fillId="20" borderId="10" xfId="0" applyFont="1" applyFill="1" applyBorder="1" applyAlignment="1" applyProtection="1">
      <alignment horizontal="center" vertical="center"/>
      <protection hidden="1"/>
    </xf>
    <xf numFmtId="0" fontId="2" fillId="20" borderId="10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horizontal="left" vertical="center" wrapText="1" indent="14"/>
    </xf>
    <xf numFmtId="0" fontId="17" fillId="0" borderId="0" xfId="0" applyFont="1" applyAlignment="1">
      <alignment horizontal="left" vertical="center" wrapText="1" indent="14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left" vertical="center" wrapText="1" indent="1"/>
    </xf>
    <xf numFmtId="0" fontId="2" fillId="20" borderId="30" xfId="0" applyFont="1" applyFill="1" applyBorder="1" applyAlignment="1">
      <alignment horizontal="left" vertical="center" wrapText="1" indent="1"/>
    </xf>
    <xf numFmtId="0" fontId="2" fillId="20" borderId="29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169" fontId="2" fillId="0" borderId="34" xfId="0" applyNumberFormat="1" applyFont="1" applyBorder="1" applyAlignment="1">
      <alignment horizontal="center" vertical="center"/>
    </xf>
    <xf numFmtId="169" fontId="2" fillId="0" borderId="35" xfId="0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72" fontId="0" fillId="0" borderId="15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0" fontId="2" fillId="20" borderId="39" xfId="0" applyFont="1" applyFill="1" applyBorder="1" applyAlignment="1">
      <alignment horizontal="center" vertical="center" wrapText="1"/>
    </xf>
    <xf numFmtId="169" fontId="0" fillId="0" borderId="15" xfId="0" applyNumberFormat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12.emf" /><Relationship Id="rId6" Type="http://schemas.openxmlformats.org/officeDocument/2006/relationships/image" Target="../media/image11.emf" /><Relationship Id="rId7" Type="http://schemas.openxmlformats.org/officeDocument/2006/relationships/image" Target="../media/image9.emf" /><Relationship Id="rId8" Type="http://schemas.openxmlformats.org/officeDocument/2006/relationships/image" Target="../media/image8.emf" /><Relationship Id="rId9" Type="http://schemas.openxmlformats.org/officeDocument/2006/relationships/image" Target="../media/image7.emf" /><Relationship Id="rId10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1009650</xdr:colOff>
      <xdr:row>0</xdr:row>
      <xdr:rowOff>1000125</xdr:rowOff>
    </xdr:to>
    <xdr:pic>
      <xdr:nvPicPr>
        <xdr:cNvPr id="1" name="Picture 1" descr="decalx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942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16</xdr:row>
      <xdr:rowOff>171450</xdr:rowOff>
    </xdr:from>
    <xdr:to>
      <xdr:col>10</xdr:col>
      <xdr:colOff>552450</xdr:colOff>
      <xdr:row>19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4371975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</xdr:row>
      <xdr:rowOff>161925</xdr:rowOff>
    </xdr:from>
    <xdr:to>
      <xdr:col>10</xdr:col>
      <xdr:colOff>561975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45732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30</xdr:row>
      <xdr:rowOff>95250</xdr:rowOff>
    </xdr:from>
    <xdr:to>
      <xdr:col>10</xdr:col>
      <xdr:colOff>571500</xdr:colOff>
      <xdr:row>32</xdr:row>
      <xdr:rowOff>95250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7162800"/>
          <a:ext cx="1238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54</xdr:row>
      <xdr:rowOff>0</xdr:rowOff>
    </xdr:from>
    <xdr:to>
      <xdr:col>10</xdr:col>
      <xdr:colOff>723900</xdr:colOff>
      <xdr:row>55</xdr:row>
      <xdr:rowOff>152400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24925" y="19631025"/>
          <a:ext cx="1362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274</xdr:row>
      <xdr:rowOff>142875</xdr:rowOff>
    </xdr:from>
    <xdr:to>
      <xdr:col>5</xdr:col>
      <xdr:colOff>723900</xdr:colOff>
      <xdr:row>277</xdr:row>
      <xdr:rowOff>152400</xdr:rowOff>
    </xdr:to>
    <xdr:pic>
      <xdr:nvPicPr>
        <xdr:cNvPr id="6" name="Print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0" y="86410800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152400</xdr:rowOff>
    </xdr:from>
    <xdr:to>
      <xdr:col>10</xdr:col>
      <xdr:colOff>733425</xdr:colOff>
      <xdr:row>0</xdr:row>
      <xdr:rowOff>723900</xdr:rowOff>
    </xdr:to>
    <xdr:pic>
      <xdr:nvPicPr>
        <xdr:cNvPr id="7" name="SectionNavigati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86825" y="152400"/>
          <a:ext cx="1409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234</xdr:row>
      <xdr:rowOff>19050</xdr:rowOff>
    </xdr:from>
    <xdr:to>
      <xdr:col>10</xdr:col>
      <xdr:colOff>581025</xdr:colOff>
      <xdr:row>235</xdr:row>
      <xdr:rowOff>190500</xdr:rowOff>
    </xdr:to>
    <xdr:pic>
      <xdr:nvPicPr>
        <xdr:cNvPr id="8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15400" y="58397775"/>
          <a:ext cx="1228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245</xdr:row>
      <xdr:rowOff>28575</xdr:rowOff>
    </xdr:from>
    <xdr:to>
      <xdr:col>10</xdr:col>
      <xdr:colOff>609600</xdr:colOff>
      <xdr:row>246</xdr:row>
      <xdr:rowOff>171450</xdr:rowOff>
    </xdr:to>
    <xdr:pic>
      <xdr:nvPicPr>
        <xdr:cNvPr id="9" name="CommandButton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0" y="6303645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267</xdr:row>
      <xdr:rowOff>0</xdr:rowOff>
    </xdr:from>
    <xdr:to>
      <xdr:col>10</xdr:col>
      <xdr:colOff>495300</xdr:colOff>
      <xdr:row>268</xdr:row>
      <xdr:rowOff>190500</xdr:rowOff>
    </xdr:to>
    <xdr:pic>
      <xdr:nvPicPr>
        <xdr:cNvPr id="10" name="CommandButton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867775" y="80648175"/>
          <a:ext cx="1190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0</xdr:col>
      <xdr:colOff>1028700</xdr:colOff>
      <xdr:row>0</xdr:row>
      <xdr:rowOff>923925</xdr:rowOff>
    </xdr:to>
    <xdr:pic>
      <xdr:nvPicPr>
        <xdr:cNvPr id="1" name="Picture 1" descr="decalx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IV273"/>
  <sheetViews>
    <sheetView showGridLines="0" showZeros="0" tabSelected="1" zoomScale="70" zoomScaleNormal="70" zoomScaleSheetLayoutView="85" zoomScalePageLayoutView="0" workbookViewId="0" topLeftCell="A1">
      <selection activeCell="K355" sqref="K354:K355"/>
    </sheetView>
  </sheetViews>
  <sheetFormatPr defaultColWidth="0" defaultRowHeight="15"/>
  <cols>
    <col min="1" max="1" width="23.140625" style="17" customWidth="1"/>
    <col min="2" max="2" width="12.8515625" style="17" customWidth="1"/>
    <col min="3" max="3" width="11.421875" style="17" customWidth="1"/>
    <col min="4" max="4" width="9.00390625" style="17" customWidth="1"/>
    <col min="5" max="5" width="12.421875" style="17" customWidth="1"/>
    <col min="6" max="6" width="12.140625" style="17" customWidth="1"/>
    <col min="7" max="8" width="9.140625" style="17" customWidth="1"/>
    <col min="9" max="9" width="32.8515625" style="17" customWidth="1"/>
    <col min="10" max="11" width="11.28125" style="17" customWidth="1"/>
    <col min="12" max="16384" width="11.28125" style="17" hidden="1" customWidth="1"/>
  </cols>
  <sheetData>
    <row r="1" spans="1:24" ht="87" customHeight="1">
      <c r="A1" s="228" t="s">
        <v>221</v>
      </c>
      <c r="B1" s="228"/>
      <c r="C1" s="228"/>
      <c r="D1" s="228"/>
      <c r="E1" s="228"/>
      <c r="F1" s="228"/>
      <c r="G1" s="228"/>
      <c r="H1" s="228"/>
      <c r="I1" s="228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s="16" customFormat="1" ht="15" customHeight="1">
      <c r="A2" s="229" t="s">
        <v>245</v>
      </c>
      <c r="B2" s="229"/>
      <c r="C2" s="229"/>
      <c r="D2" s="229"/>
      <c r="E2" s="229"/>
      <c r="F2" s="229"/>
      <c r="G2" s="229"/>
      <c r="H2" s="229"/>
      <c r="I2" s="229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s="16" customFormat="1" ht="15">
      <c r="A3" s="230"/>
      <c r="B3" s="230"/>
      <c r="C3" s="230"/>
      <c r="D3" s="230"/>
      <c r="E3" s="230"/>
      <c r="F3" s="230"/>
      <c r="G3" s="230"/>
      <c r="H3" s="230"/>
      <c r="I3" s="230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s="107" customFormat="1" ht="18.75">
      <c r="A4" s="173" t="s">
        <v>14</v>
      </c>
      <c r="B4" s="173"/>
      <c r="C4" s="173"/>
      <c r="D4" s="173"/>
      <c r="E4" s="173"/>
      <c r="F4" s="173"/>
      <c r="G4" s="173"/>
      <c r="H4" s="173"/>
      <c r="I4" s="173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</row>
    <row r="5" spans="1:24" s="107" customFormat="1" ht="15">
      <c r="A5" s="168" t="s">
        <v>20</v>
      </c>
      <c r="B5" s="168"/>
      <c r="C5" s="168"/>
      <c r="D5" s="168"/>
      <c r="E5" s="168"/>
      <c r="F5" s="168"/>
      <c r="G5" s="168"/>
      <c r="H5" s="168"/>
      <c r="I5" s="168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4" s="107" customFormat="1" ht="15">
      <c r="A6" s="172" t="s">
        <v>16</v>
      </c>
      <c r="B6" s="172"/>
      <c r="C6" s="163">
        <f>HiddenSum!B7</f>
        <v>0</v>
      </c>
      <c r="D6" s="163"/>
      <c r="E6" s="163"/>
      <c r="F6" s="163"/>
      <c r="G6" s="163"/>
      <c r="H6" s="163"/>
      <c r="I6" s="163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1:24" s="107" customFormat="1" ht="15">
      <c r="A7" s="155" t="s">
        <v>0</v>
      </c>
      <c r="B7" s="155"/>
      <c r="C7" s="163">
        <f>HiddenSum!B8</f>
        <v>0</v>
      </c>
      <c r="D7" s="163"/>
      <c r="E7" s="163"/>
      <c r="F7" s="163"/>
      <c r="G7" s="163"/>
      <c r="H7" s="163"/>
      <c r="I7" s="163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24" s="107" customFormat="1" ht="15">
      <c r="A8" s="172" t="s">
        <v>12</v>
      </c>
      <c r="B8" s="172"/>
      <c r="C8" s="163">
        <f>address1</f>
        <v>0</v>
      </c>
      <c r="D8" s="163"/>
      <c r="E8" s="163"/>
      <c r="F8" s="163"/>
      <c r="G8" s="163"/>
      <c r="H8" s="163"/>
      <c r="I8" s="163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24" s="107" customFormat="1" ht="15">
      <c r="A9" s="172" t="s">
        <v>13</v>
      </c>
      <c r="B9" s="172"/>
      <c r="C9" s="163">
        <f>address2</f>
        <v>0</v>
      </c>
      <c r="D9" s="163"/>
      <c r="E9" s="163"/>
      <c r="F9" s="163"/>
      <c r="G9" s="163"/>
      <c r="H9" s="163"/>
      <c r="I9" s="163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4" s="107" customFormat="1" ht="15">
      <c r="A10" s="172" t="s">
        <v>10</v>
      </c>
      <c r="B10" s="172"/>
      <c r="C10" s="163">
        <f>city</f>
        <v>0</v>
      </c>
      <c r="D10" s="163"/>
      <c r="E10" s="163"/>
      <c r="F10" s="163"/>
      <c r="G10" s="163"/>
      <c r="H10" s="163"/>
      <c r="I10" s="163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s="107" customFormat="1" ht="15">
      <c r="A11" s="172" t="s">
        <v>11</v>
      </c>
      <c r="B11" s="172"/>
      <c r="C11" s="163">
        <f>state</f>
        <v>0</v>
      </c>
      <c r="D11" s="163"/>
      <c r="E11" s="163"/>
      <c r="F11" s="163"/>
      <c r="G11" s="163"/>
      <c r="H11" s="163"/>
      <c r="I11" s="163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s="107" customFormat="1" ht="15">
      <c r="A12" s="172" t="s">
        <v>17</v>
      </c>
      <c r="B12" s="172"/>
      <c r="C12" s="163">
        <f>zip</f>
        <v>0</v>
      </c>
      <c r="D12" s="163"/>
      <c r="E12" s="163"/>
      <c r="F12" s="163"/>
      <c r="G12" s="163"/>
      <c r="H12" s="163"/>
      <c r="I12" s="16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s="107" customFormat="1" ht="15">
      <c r="A13" s="172" t="s">
        <v>19</v>
      </c>
      <c r="B13" s="172"/>
      <c r="C13" s="227">
        <f>telephone</f>
        <v>0</v>
      </c>
      <c r="D13" s="227"/>
      <c r="E13" s="227"/>
      <c r="F13" s="227"/>
      <c r="G13" s="227"/>
      <c r="H13" s="227"/>
      <c r="I13" s="227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s="107" customFormat="1" ht="15">
      <c r="A14" s="172" t="s">
        <v>18</v>
      </c>
      <c r="B14" s="172"/>
      <c r="C14" s="163">
        <f>email</f>
        <v>0</v>
      </c>
      <c r="D14" s="163"/>
      <c r="E14" s="163"/>
      <c r="F14" s="163"/>
      <c r="G14" s="163"/>
      <c r="H14" s="163"/>
      <c r="I14" s="163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107" customFormat="1" ht="15">
      <c r="A15" s="172" t="s">
        <v>1</v>
      </c>
      <c r="B15" s="172"/>
      <c r="C15" s="163">
        <f>servicearea</f>
        <v>0</v>
      </c>
      <c r="D15" s="163"/>
      <c r="E15" s="163"/>
      <c r="F15" s="163"/>
      <c r="G15" s="163"/>
      <c r="H15" s="163"/>
      <c r="I15" s="163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s="114" customFormat="1" ht="30" customHeight="1">
      <c r="A16" s="156" t="s">
        <v>15</v>
      </c>
      <c r="B16" s="156"/>
      <c r="C16" s="163">
        <f>IF(Section5307,HiddenSum!A19,"")&amp;""&amp;IF(Section5310,""&amp;"  "&amp;HiddenSum!A20,"")&amp;""&amp;IF(Section5311,""&amp;"  "&amp;HiddenSum!A21,"")&amp;""&amp;IF(NA,""&amp;" "&amp;HiddenSum!A18,"")</f>
      </c>
      <c r="D16" s="163"/>
      <c r="E16" s="163"/>
      <c r="F16" s="163"/>
      <c r="G16" s="163"/>
      <c r="H16" s="163"/>
      <c r="I16" s="16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107" customFormat="1" ht="15">
      <c r="A17" s="180" t="s">
        <v>91</v>
      </c>
      <c r="B17" s="180"/>
      <c r="C17" s="163">
        <f>AppStatus</f>
        <v>0</v>
      </c>
      <c r="D17" s="163"/>
      <c r="E17" s="163"/>
      <c r="F17" s="163"/>
      <c r="G17" s="163"/>
      <c r="H17" s="163"/>
      <c r="I17" s="163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s="107" customFormat="1" ht="18.75">
      <c r="A18" s="173" t="s">
        <v>22</v>
      </c>
      <c r="B18" s="173"/>
      <c r="C18" s="173"/>
      <c r="D18" s="173"/>
      <c r="E18" s="173"/>
      <c r="F18" s="173"/>
      <c r="G18" s="173"/>
      <c r="H18" s="173"/>
      <c r="I18" s="173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s="116" customFormat="1" ht="15">
      <c r="A19" s="168" t="s">
        <v>23</v>
      </c>
      <c r="B19" s="168"/>
      <c r="C19" s="168"/>
      <c r="D19" s="168"/>
      <c r="E19" s="168"/>
      <c r="F19" s="168"/>
      <c r="G19" s="168"/>
      <c r="H19" s="168"/>
      <c r="I19" s="168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</row>
    <row r="20" spans="1:24" s="116" customFormat="1" ht="15">
      <c r="A20" s="172" t="s">
        <v>24</v>
      </c>
      <c r="B20" s="172"/>
      <c r="C20" s="180">
        <f>HiddenSum!ProjectTitle</f>
        <v>0</v>
      </c>
      <c r="D20" s="180"/>
      <c r="E20" s="180"/>
      <c r="F20" s="180"/>
      <c r="G20" s="180"/>
      <c r="H20" s="180"/>
      <c r="I20" s="180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</row>
    <row r="21" spans="1:24" s="116" customFormat="1" ht="15">
      <c r="A21" s="172" t="s">
        <v>25</v>
      </c>
      <c r="B21" s="172"/>
      <c r="C21" s="180">
        <f>IF(FundJARC,HiddenSum!A32,"")&amp;""&amp;IF(FundNewFreedom,""&amp;"  "&amp;HiddenSum!A33,"")</f>
      </c>
      <c r="D21" s="180"/>
      <c r="E21" s="180"/>
      <c r="F21" s="180"/>
      <c r="G21" s="180"/>
      <c r="H21" s="180"/>
      <c r="I21" s="180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s="118" customFormat="1" ht="15">
      <c r="A22" s="172" t="s">
        <v>27</v>
      </c>
      <c r="B22" s="172"/>
      <c r="C22" s="158">
        <f>IF(PTCapital,HiddenSum!A35,IF(PTOperating,""&amp;"  "&amp;HiddenSum!A36,IF(HiddenSum!B37,HiddenSum!A37,"")))</f>
      </c>
      <c r="D22" s="158"/>
      <c r="E22" s="158"/>
      <c r="F22" s="158"/>
      <c r="G22" s="158"/>
      <c r="H22" s="158"/>
      <c r="I22" s="158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s="116" customFormat="1" ht="15">
      <c r="A23" s="168" t="s">
        <v>92</v>
      </c>
      <c r="B23" s="168"/>
      <c r="C23" s="168"/>
      <c r="D23" s="168"/>
      <c r="E23" s="168"/>
      <c r="F23" s="168"/>
      <c r="G23" s="168"/>
      <c r="H23" s="168"/>
      <c r="I23" s="168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s="116" customFormat="1" ht="15">
      <c r="A24" s="226" t="s">
        <v>26</v>
      </c>
      <c r="B24" s="226"/>
      <c r="C24" s="172" t="str">
        <f>attendance</f>
        <v>Did Not Attend</v>
      </c>
      <c r="D24" s="172"/>
      <c r="E24" s="172"/>
      <c r="F24" s="172"/>
      <c r="G24" s="172"/>
      <c r="H24" s="172"/>
      <c r="I24" s="172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116" customFormat="1" ht="15">
      <c r="A25" s="226" t="s">
        <v>222</v>
      </c>
      <c r="B25" s="226"/>
      <c r="C25" s="208">
        <f>attendee</f>
        <v>0</v>
      </c>
      <c r="D25" s="209"/>
      <c r="E25" s="209"/>
      <c r="F25" s="209"/>
      <c r="G25" s="209"/>
      <c r="H25" s="209"/>
      <c r="I25" s="210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</row>
    <row r="26" spans="1:24" s="116" customFormat="1" ht="15">
      <c r="A26" s="172" t="s">
        <v>28</v>
      </c>
      <c r="B26" s="172"/>
      <c r="C26" s="190">
        <f>TotalProjectBudget</f>
        <v>0</v>
      </c>
      <c r="D26" s="190"/>
      <c r="E26" s="190"/>
      <c r="F26" s="190"/>
      <c r="G26" s="190"/>
      <c r="H26" s="190"/>
      <c r="I26" s="190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</row>
    <row r="27" spans="1:24" s="116" customFormat="1" ht="12" customHeight="1">
      <c r="A27" s="192" t="s">
        <v>29</v>
      </c>
      <c r="B27" s="192"/>
      <c r="C27" s="192"/>
      <c r="D27" s="192"/>
      <c r="E27" s="192"/>
      <c r="F27" s="192"/>
      <c r="G27" s="192"/>
      <c r="H27" s="192"/>
      <c r="I27" s="192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</row>
    <row r="28" spans="1:24" s="116" customFormat="1" ht="15">
      <c r="A28" s="172" t="s">
        <v>96</v>
      </c>
      <c r="B28" s="172"/>
      <c r="C28" s="190" t="str">
        <f>IF(PTCapital,HiddenSum!B51,IF(PTOpCap,HiddenSum!B51,"N/A"))</f>
        <v>N/A</v>
      </c>
      <c r="D28" s="190"/>
      <c r="E28" s="190"/>
      <c r="F28" s="190"/>
      <c r="G28" s="190"/>
      <c r="H28" s="190"/>
      <c r="I28" s="190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</row>
    <row r="29" spans="1:24" s="116" customFormat="1" ht="15">
      <c r="A29" s="172" t="s">
        <v>177</v>
      </c>
      <c r="B29" s="172"/>
      <c r="C29" s="190" t="str">
        <f>IF(PTOperating,HiddenSum!B52,IF(PTOpCap,HiddenSum!B52,"N/A"))</f>
        <v>N/A</v>
      </c>
      <c r="D29" s="190"/>
      <c r="E29" s="190"/>
      <c r="F29" s="190"/>
      <c r="G29" s="190"/>
      <c r="H29" s="190"/>
      <c r="I29" s="190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</row>
    <row r="30" spans="1:24" s="116" customFormat="1" ht="30" customHeight="1">
      <c r="A30" s="156" t="s">
        <v>30</v>
      </c>
      <c r="B30" s="156"/>
      <c r="C30" s="172" t="str">
        <f>IF(TerminatedProjsYes,"No","Yes")</f>
        <v>No</v>
      </c>
      <c r="D30" s="172"/>
      <c r="E30" s="172"/>
      <c r="F30" s="172"/>
      <c r="G30" s="172"/>
      <c r="H30" s="172"/>
      <c r="I30" s="172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</row>
    <row r="31" spans="1:24" s="120" customFormat="1" ht="18.75">
      <c r="A31" s="173" t="s">
        <v>99</v>
      </c>
      <c r="B31" s="173"/>
      <c r="C31" s="173"/>
      <c r="D31" s="173"/>
      <c r="E31" s="173"/>
      <c r="F31" s="173"/>
      <c r="G31" s="173"/>
      <c r="H31" s="173"/>
      <c r="I31" s="173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s="116" customFormat="1" ht="15">
      <c r="A32" s="168" t="s">
        <v>188</v>
      </c>
      <c r="B32" s="168"/>
      <c r="C32" s="168"/>
      <c r="D32" s="168"/>
      <c r="E32" s="168"/>
      <c r="F32" s="168"/>
      <c r="G32" s="168"/>
      <c r="H32" s="168"/>
      <c r="I32" s="168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</row>
    <row r="33" spans="1:24" s="116" customFormat="1" ht="15">
      <c r="A33" s="180" t="s">
        <v>33</v>
      </c>
      <c r="B33" s="180"/>
      <c r="C33" s="180"/>
      <c r="D33" s="224">
        <f>IF(elderly,"Elderly","")&amp;""&amp;IF(disabled,"   Disabled","")&amp;""&amp;IF(lowincome,"   Low-income","")</f>
      </c>
      <c r="E33" s="224"/>
      <c r="F33" s="224"/>
      <c r="G33" s="224"/>
      <c r="H33" s="224"/>
      <c r="I33" s="224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</row>
    <row r="34" spans="1:24" s="116" customFormat="1" ht="29.25" customHeight="1">
      <c r="A34" s="180" t="s">
        <v>237</v>
      </c>
      <c r="B34" s="180"/>
      <c r="C34" s="180"/>
      <c r="D34" s="172">
        <f>IF(EligJARC,HiddenSum!A58,"")&amp;""&amp;IF(EligNF,""&amp;"  "&amp;HiddenSum!A59,"")&amp;""&amp;IF(EligRural,""&amp;"  "&amp;HiddenSum!A60,"")&amp;""&amp;IF(EligSmallUrb,""&amp;"  "&amp;HiddenSum!A62,"")&amp;""&amp;IF(EligUrban,""&amp;"  "&amp;HiddenSum!A61,"")</f>
      </c>
      <c r="E34" s="172"/>
      <c r="F34" s="172"/>
      <c r="G34" s="172"/>
      <c r="H34" s="172"/>
      <c r="I34" s="172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</row>
    <row r="35" spans="1:24" s="116" customFormat="1" ht="15">
      <c r="A35" s="176" t="s">
        <v>225</v>
      </c>
      <c r="B35" s="176"/>
      <c r="C35" s="176"/>
      <c r="D35" s="225">
        <f>HiddenSum!B63</f>
        <v>0</v>
      </c>
      <c r="E35" s="225"/>
      <c r="F35" s="225"/>
      <c r="G35" s="225"/>
      <c r="H35" s="225"/>
      <c r="I35" s="144">
        <f>D35/68667</f>
        <v>0</v>
      </c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</row>
    <row r="36" spans="1:24" s="116" customFormat="1" ht="15">
      <c r="A36" s="172" t="s">
        <v>223</v>
      </c>
      <c r="B36" s="172"/>
      <c r="C36" s="172"/>
      <c r="D36" s="225">
        <f>HiddenSum!B64</f>
        <v>0</v>
      </c>
      <c r="E36" s="225"/>
      <c r="F36" s="225"/>
      <c r="G36" s="225"/>
      <c r="H36" s="225"/>
      <c r="I36" s="144">
        <f>D36/3642361</f>
        <v>0</v>
      </c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s="116" customFormat="1" ht="15">
      <c r="A37" s="168" t="s">
        <v>189</v>
      </c>
      <c r="B37" s="168"/>
      <c r="C37" s="168"/>
      <c r="D37" s="168"/>
      <c r="E37" s="168"/>
      <c r="F37" s="168"/>
      <c r="G37" s="168"/>
      <c r="H37" s="168"/>
      <c r="I37" s="168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</row>
    <row r="38" spans="1:24" s="116" customFormat="1" ht="15" customHeight="1">
      <c r="A38" s="176" t="s">
        <v>100</v>
      </c>
      <c r="B38" s="176"/>
      <c r="C38" s="176"/>
      <c r="D38" s="176"/>
      <c r="E38" s="176"/>
      <c r="F38" s="176"/>
      <c r="G38" s="176"/>
      <c r="H38" s="176"/>
      <c r="I38" s="176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s="116" customFormat="1" ht="30" customHeight="1">
      <c r="A39" s="135" t="s">
        <v>226</v>
      </c>
      <c r="B39" s="193" t="s">
        <v>227</v>
      </c>
      <c r="C39" s="193"/>
      <c r="D39" s="193"/>
      <c r="E39" s="193"/>
      <c r="F39" s="193"/>
      <c r="G39" s="193"/>
      <c r="H39" s="193"/>
      <c r="I39" s="193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s="116" customFormat="1" ht="54.75" customHeight="1">
      <c r="A40" s="133" t="s">
        <v>38</v>
      </c>
      <c r="B40" s="183" t="str">
        <f>IF(AccessJARCTF,HiddenSum!B66,"N/A")</f>
        <v>N/A</v>
      </c>
      <c r="C40" s="184"/>
      <c r="D40" s="184"/>
      <c r="E40" s="184"/>
      <c r="F40" s="184"/>
      <c r="G40" s="184"/>
      <c r="H40" s="184"/>
      <c r="I40" s="18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spans="1:24" s="116" customFormat="1" ht="54.75" customHeight="1">
      <c r="A41" s="133" t="s">
        <v>39</v>
      </c>
      <c r="B41" s="183" t="str">
        <f>IF(AccessSecondThirdShiftTF,HiddenSum!AccessSecondThirdShift,"N/A")</f>
        <v>N/A</v>
      </c>
      <c r="C41" s="184"/>
      <c r="D41" s="184"/>
      <c r="E41" s="184"/>
      <c r="F41" s="184"/>
      <c r="G41" s="184"/>
      <c r="H41" s="184"/>
      <c r="I41" s="18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spans="1:24" s="116" customFormat="1" ht="54.75" customHeight="1">
      <c r="A42" s="133" t="s">
        <v>238</v>
      </c>
      <c r="B42" s="183" t="str">
        <f>IF(MktgServicesTF,HiddenSum!B68,"N/A")</f>
        <v>N/A</v>
      </c>
      <c r="C42" s="184"/>
      <c r="D42" s="184"/>
      <c r="E42" s="184"/>
      <c r="F42" s="184"/>
      <c r="G42" s="184"/>
      <c r="H42" s="184"/>
      <c r="I42" s="18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</row>
    <row r="43" spans="1:24" s="116" customFormat="1" ht="54.75" customHeight="1">
      <c r="A43" s="133" t="s">
        <v>41</v>
      </c>
      <c r="B43" s="171" t="str">
        <f>IF(MktgReduceResTimeTF,HiddenSum!MktgReduceResTime,"N/A")</f>
        <v>N/A</v>
      </c>
      <c r="C43" s="171"/>
      <c r="D43" s="171"/>
      <c r="E43" s="171"/>
      <c r="F43" s="171"/>
      <c r="G43" s="171"/>
      <c r="H43" s="171"/>
      <c r="I43" s="171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</row>
    <row r="44" spans="1:24" s="116" customFormat="1" ht="54.75" customHeight="1">
      <c r="A44" s="133" t="s">
        <v>42</v>
      </c>
      <c r="B44" s="171" t="str">
        <f>IF(MoreServIntercityTF,HiddenSum!MoreServIntercity,"N/A")</f>
        <v>N/A</v>
      </c>
      <c r="C44" s="171"/>
      <c r="D44" s="171"/>
      <c r="E44" s="171"/>
      <c r="F44" s="171"/>
      <c r="G44" s="171"/>
      <c r="H44" s="171"/>
      <c r="I44" s="171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</row>
    <row r="45" spans="1:24" s="116" customFormat="1" ht="54.75" customHeight="1">
      <c r="A45" s="133" t="s">
        <v>43</v>
      </c>
      <c r="B45" s="171" t="str">
        <f>IF(MoreServIncreaseUtilTF,HiddenSum!MoreServIncreaseUtil,"N/A")</f>
        <v>N/A</v>
      </c>
      <c r="C45" s="171"/>
      <c r="D45" s="171"/>
      <c r="E45" s="171"/>
      <c r="F45" s="171"/>
      <c r="G45" s="171"/>
      <c r="H45" s="171"/>
      <c r="I45" s="171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</row>
    <row r="46" spans="1:24" s="116" customFormat="1" ht="54.75" customHeight="1">
      <c r="A46" s="133" t="s">
        <v>44</v>
      </c>
      <c r="B46" s="171" t="str">
        <f>IF(MoreServEvngWkndTF,HiddenSum!B72,"N/A")</f>
        <v>N/A</v>
      </c>
      <c r="C46" s="171"/>
      <c r="D46" s="171"/>
      <c r="E46" s="171"/>
      <c r="F46" s="171"/>
      <c r="G46" s="171"/>
      <c r="H46" s="171"/>
      <c r="I46" s="171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</row>
    <row r="47" spans="1:24" s="116" customFormat="1" ht="54.75" customHeight="1">
      <c r="A47" s="133" t="s">
        <v>45</v>
      </c>
      <c r="B47" s="171" t="str">
        <f>IF(MoreServLowincomeTF,HiddenSum!MoreServLowincome,"N/A")</f>
        <v>N/A</v>
      </c>
      <c r="C47" s="171"/>
      <c r="D47" s="171"/>
      <c r="E47" s="171"/>
      <c r="F47" s="171"/>
      <c r="G47" s="171"/>
      <c r="H47" s="171"/>
      <c r="I47" s="171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</row>
    <row r="48" spans="1:24" s="116" customFormat="1" ht="54.75" customHeight="1">
      <c r="A48" s="133" t="s">
        <v>46</v>
      </c>
      <c r="B48" s="171" t="str">
        <f>IF(MoreServAffordableTF,HiddenSum!MoreServAffordable,"N/A")</f>
        <v>N/A</v>
      </c>
      <c r="C48" s="171"/>
      <c r="D48" s="171"/>
      <c r="E48" s="171"/>
      <c r="F48" s="171"/>
      <c r="G48" s="171"/>
      <c r="H48" s="171"/>
      <c r="I48" s="171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</row>
    <row r="49" spans="1:24" s="116" customFormat="1" ht="54.75" customHeight="1">
      <c r="A49" s="133" t="s">
        <v>47</v>
      </c>
      <c r="B49" s="171" t="str">
        <f>IF(ImprovEffConnectivityTF,HiddenSum!ImprovEffConnectivity,"N/A")</f>
        <v>N/A</v>
      </c>
      <c r="C49" s="171"/>
      <c r="D49" s="171"/>
      <c r="E49" s="171"/>
      <c r="F49" s="171"/>
      <c r="G49" s="171"/>
      <c r="H49" s="171"/>
      <c r="I49" s="171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</row>
    <row r="50" spans="1:24" s="116" customFormat="1" ht="54.75" customHeight="1">
      <c r="A50" s="133" t="s">
        <v>48</v>
      </c>
      <c r="B50" s="171" t="str">
        <f>IF(ImpEffServRisingCostTF,[0]!ImpEffServRisingCost,"N/A")</f>
        <v>N/A</v>
      </c>
      <c r="C50" s="171"/>
      <c r="D50" s="171"/>
      <c r="E50" s="171"/>
      <c r="F50" s="171"/>
      <c r="G50" s="171"/>
      <c r="H50" s="171"/>
      <c r="I50" s="171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</row>
    <row r="51" spans="1:24" s="116" customFormat="1" ht="54.75" customHeight="1">
      <c r="A51" s="133" t="s">
        <v>49</v>
      </c>
      <c r="B51" s="171" t="str">
        <f>IF(ImproveEffLongwaittimeTF,HiddenSum!ImproveEffLongwaittime,"N/A")</f>
        <v>N/A</v>
      </c>
      <c r="C51" s="171"/>
      <c r="D51" s="171"/>
      <c r="E51" s="171"/>
      <c r="F51" s="171"/>
      <c r="G51" s="171"/>
      <c r="H51" s="171"/>
      <c r="I51" s="171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</row>
    <row r="52" spans="1:24" s="116" customFormat="1" ht="54.75" customHeight="1">
      <c r="A52" s="133" t="s">
        <v>50</v>
      </c>
      <c r="B52" s="171" t="str">
        <f>IF(ImprEffDrivRetentionTF,HiddenSum!ImprEffDrivRetention,"N/A")</f>
        <v>N/A</v>
      </c>
      <c r="C52" s="171"/>
      <c r="D52" s="171"/>
      <c r="E52" s="171"/>
      <c r="F52" s="171"/>
      <c r="G52" s="171"/>
      <c r="H52" s="171"/>
      <c r="I52" s="171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</row>
    <row r="53" spans="1:24" s="116" customFormat="1" ht="54.75" customHeight="1">
      <c r="A53" s="133" t="s">
        <v>51</v>
      </c>
      <c r="B53" s="171" t="str">
        <f>IF(CapImpLackADATF,HiddenSum!CapImpLackADA,"N/A")</f>
        <v>N/A</v>
      </c>
      <c r="C53" s="171"/>
      <c r="D53" s="171"/>
      <c r="E53" s="171"/>
      <c r="F53" s="171"/>
      <c r="G53" s="171"/>
      <c r="H53" s="171"/>
      <c r="I53" s="171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</row>
    <row r="54" spans="1:24" s="116" customFormat="1" ht="54.75" customHeight="1">
      <c r="A54" s="133" t="s">
        <v>52</v>
      </c>
      <c r="B54" s="171" t="str">
        <f>IF(CapImpLackADAvehTF,HiddenSum!CapImpLackADAveh,"N/A")</f>
        <v>N/A</v>
      </c>
      <c r="C54" s="171"/>
      <c r="D54" s="171"/>
      <c r="E54" s="171"/>
      <c r="F54" s="171"/>
      <c r="G54" s="171"/>
      <c r="H54" s="171"/>
      <c r="I54" s="171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</row>
    <row r="55" spans="1:24" s="116" customFormat="1" ht="18.75">
      <c r="A55" s="173" t="s">
        <v>246</v>
      </c>
      <c r="B55" s="173"/>
      <c r="C55" s="173"/>
      <c r="D55" s="173"/>
      <c r="E55" s="173"/>
      <c r="F55" s="173"/>
      <c r="G55" s="173"/>
      <c r="H55" s="173"/>
      <c r="I55" s="173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</row>
    <row r="56" spans="1:24" s="116" customFormat="1" ht="15">
      <c r="A56" s="175" t="s">
        <v>190</v>
      </c>
      <c r="B56" s="175"/>
      <c r="C56" s="175"/>
      <c r="D56" s="175"/>
      <c r="E56" s="175"/>
      <c r="F56" s="175"/>
      <c r="G56" s="175"/>
      <c r="H56" s="175"/>
      <c r="I56" s="17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spans="1:24" s="118" customFormat="1" ht="15">
      <c r="A57" s="137" t="s">
        <v>28</v>
      </c>
      <c r="B57" s="231">
        <f>HiddenSum!B49</f>
        <v>0</v>
      </c>
      <c r="C57" s="232"/>
      <c r="D57" s="232"/>
      <c r="E57" s="233"/>
      <c r="F57" s="235"/>
      <c r="G57" s="235"/>
      <c r="H57" s="235"/>
      <c r="I57" s="235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s="116" customFormat="1" ht="15">
      <c r="A58" s="222" t="s">
        <v>191</v>
      </c>
      <c r="B58" s="222"/>
      <c r="C58" s="222"/>
      <c r="D58" s="222"/>
      <c r="E58" s="222"/>
      <c r="F58" s="236"/>
      <c r="G58" s="236"/>
      <c r="H58" s="236"/>
      <c r="I58" s="236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</row>
    <row r="59" spans="1:24" s="116" customFormat="1" ht="15">
      <c r="A59" s="138" t="s">
        <v>172</v>
      </c>
      <c r="B59" s="153" t="s">
        <v>174</v>
      </c>
      <c r="C59" s="153"/>
      <c r="D59" s="153" t="s">
        <v>175</v>
      </c>
      <c r="E59" s="153"/>
      <c r="F59" s="236"/>
      <c r="G59" s="236"/>
      <c r="H59" s="236"/>
      <c r="I59" s="236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</row>
    <row r="60" spans="1:24" s="116" customFormat="1" ht="15">
      <c r="A60" s="139" t="s">
        <v>165</v>
      </c>
      <c r="B60" s="154" t="str">
        <f>IF(PTCapital,HiddenSum!B106,IF(PTOpCap,HiddenSum!B106,"N/A"))</f>
        <v>N/A</v>
      </c>
      <c r="C60" s="154"/>
      <c r="D60" s="154"/>
      <c r="E60" s="154"/>
      <c r="F60" s="236"/>
      <c r="G60" s="236"/>
      <c r="H60" s="236"/>
      <c r="I60" s="236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</row>
    <row r="61" spans="1:24" s="116" customFormat="1" ht="15">
      <c r="A61" s="139" t="s">
        <v>59</v>
      </c>
      <c r="B61" s="154" t="str">
        <f>IF(PTCapital,capfedsharedollar,IF(PTOpCap,capfedsharedollar,"N/A"))</f>
        <v>N/A</v>
      </c>
      <c r="C61" s="154"/>
      <c r="D61" s="223" t="str">
        <f>IF(PTCapital,capfedsharepercent,IF(PTOpCap,capfedsharepercent,"N/A"))</f>
        <v>N/A</v>
      </c>
      <c r="E61" s="223"/>
      <c r="F61" s="236"/>
      <c r="G61" s="236"/>
      <c r="H61" s="236"/>
      <c r="I61" s="236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</row>
    <row r="62" spans="1:24" s="116" customFormat="1" ht="15">
      <c r="A62" s="139" t="s">
        <v>60</v>
      </c>
      <c r="B62" s="154" t="str">
        <f>IF(PTCapital,caplocaldollar,IF(PTOpCap,caplocaldollar,"N/A"))</f>
        <v>N/A</v>
      </c>
      <c r="C62" s="154"/>
      <c r="D62" s="223" t="str">
        <f>IF(PTCapital,caplocalpercent,IF(PTOpCap,caplocalpercent,"N/A"))</f>
        <v>N/A</v>
      </c>
      <c r="E62" s="223"/>
      <c r="F62" s="236"/>
      <c r="G62" s="236"/>
      <c r="H62" s="236"/>
      <c r="I62" s="236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</row>
    <row r="63" spans="1:24" s="116" customFormat="1" ht="15">
      <c r="A63" s="138" t="s">
        <v>173</v>
      </c>
      <c r="B63" s="153" t="s">
        <v>174</v>
      </c>
      <c r="C63" s="153"/>
      <c r="D63" s="153" t="s">
        <v>175</v>
      </c>
      <c r="E63" s="153"/>
      <c r="F63" s="236"/>
      <c r="G63" s="236"/>
      <c r="H63" s="236"/>
      <c r="I63" s="236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spans="1:24" s="116" customFormat="1" ht="15">
      <c r="A64" s="139" t="s">
        <v>166</v>
      </c>
      <c r="B64" s="154" t="str">
        <f>IF(PTOperating,totalopexp,IF(PTOpCap,totalopexp,"N/A"))</f>
        <v>N/A</v>
      </c>
      <c r="C64" s="154"/>
      <c r="D64" s="154"/>
      <c r="E64" s="154"/>
      <c r="F64" s="236"/>
      <c r="G64" s="236"/>
      <c r="H64" s="236"/>
      <c r="I64" s="236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</row>
    <row r="65" spans="1:24" s="116" customFormat="1" ht="30">
      <c r="A65" s="139" t="s">
        <v>61</v>
      </c>
      <c r="B65" s="154" t="str">
        <f>IF(PTOperating,(opfedsharedollar),IF(PTOpCap,(opfedsharedollar),"N/A"))</f>
        <v>N/A</v>
      </c>
      <c r="C65" s="154"/>
      <c r="D65" s="152" t="str">
        <f>IF(PTOperating,opfedsharepercent,IF(PTOpCap,opfedsharepercent,"N/A"))</f>
        <v>N/A</v>
      </c>
      <c r="E65" s="152"/>
      <c r="F65" s="236"/>
      <c r="G65" s="236"/>
      <c r="H65" s="236"/>
      <c r="I65" s="236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s="116" customFormat="1" ht="30">
      <c r="A66" s="139" t="s">
        <v>62</v>
      </c>
      <c r="B66" s="154" t="str">
        <f>IF(PTOperating,oplocaldollar,IF(PTOpCap,oplocaldollar,"N/A"))</f>
        <v>N/A</v>
      </c>
      <c r="C66" s="154"/>
      <c r="D66" s="152" t="str">
        <f>IF(PTOperating,oplocalpercent,IF(PTOpCap,oplocalpercent,"N/A"))</f>
        <v>N/A</v>
      </c>
      <c r="E66" s="152"/>
      <c r="F66" s="236"/>
      <c r="G66" s="236"/>
      <c r="H66" s="236"/>
      <c r="I66" s="236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s="116" customFormat="1" ht="15">
      <c r="A67" s="175" t="s">
        <v>192</v>
      </c>
      <c r="B67" s="175"/>
      <c r="C67" s="175"/>
      <c r="D67" s="175"/>
      <c r="E67" s="175"/>
      <c r="F67" s="175"/>
      <c r="G67" s="175"/>
      <c r="H67" s="175"/>
      <c r="I67" s="17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107" customFormat="1" ht="15">
      <c r="A68" s="222" t="s">
        <v>165</v>
      </c>
      <c r="B68" s="222"/>
      <c r="C68" s="222"/>
      <c r="D68" s="222"/>
      <c r="E68" s="222"/>
      <c r="F68" s="222"/>
      <c r="G68" s="222"/>
      <c r="H68" s="222"/>
      <c r="I68" s="22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</row>
    <row r="69" spans="1:24" s="107" customFormat="1" ht="28.5">
      <c r="A69" s="135" t="s">
        <v>106</v>
      </c>
      <c r="B69" s="135" t="s">
        <v>179</v>
      </c>
      <c r="C69" s="136" t="s">
        <v>107</v>
      </c>
      <c r="D69" s="140" t="s">
        <v>108</v>
      </c>
      <c r="E69" s="136" t="s">
        <v>109</v>
      </c>
      <c r="F69" s="140" t="s">
        <v>25</v>
      </c>
      <c r="G69" s="234"/>
      <c r="H69" s="234"/>
      <c r="I69" s="234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</row>
    <row r="70" spans="1:24" s="116" customFormat="1" ht="15">
      <c r="A70" s="132"/>
      <c r="B70" s="134" t="s">
        <v>9</v>
      </c>
      <c r="C70" s="141"/>
      <c r="D70" s="146"/>
      <c r="E70" s="146"/>
      <c r="F70" s="142">
        <f>IF(CapExp1JARC,JARC,IF(CapExp1NF,NF,""))</f>
      </c>
      <c r="G70" s="234"/>
      <c r="H70" s="234"/>
      <c r="I70" s="234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116" customFormat="1" ht="15">
      <c r="A71" s="132"/>
      <c r="B71" s="134" t="s">
        <v>9</v>
      </c>
      <c r="C71" s="141"/>
      <c r="D71" s="146"/>
      <c r="E71" s="146"/>
      <c r="F71" s="142">
        <f>IF(CapExp2JARC,JARC,IF(CapExp2NF,NF,""))</f>
      </c>
      <c r="G71" s="234"/>
      <c r="H71" s="234"/>
      <c r="I71" s="234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s="116" customFormat="1" ht="15">
      <c r="A72" s="132"/>
      <c r="B72" s="134" t="s">
        <v>9</v>
      </c>
      <c r="C72" s="141"/>
      <c r="D72" s="146"/>
      <c r="E72" s="146"/>
      <c r="F72" s="142">
        <f>IF(CapExp3JARC,JARC,IF(CapExp3NF,NF,""))</f>
      </c>
      <c r="G72" s="234"/>
      <c r="H72" s="234"/>
      <c r="I72" s="234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s="116" customFormat="1" ht="15">
      <c r="A73" s="132"/>
      <c r="B73" s="134" t="s">
        <v>9</v>
      </c>
      <c r="C73" s="141"/>
      <c r="D73" s="146"/>
      <c r="E73" s="146"/>
      <c r="F73" s="142">
        <f>IF(CapExp4JARC,JARC,IF(CapExp4NF,NF,""))</f>
      </c>
      <c r="G73" s="234"/>
      <c r="H73" s="234"/>
      <c r="I73" s="234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s="116" customFormat="1" ht="15">
      <c r="A74" s="132"/>
      <c r="B74" s="134" t="s">
        <v>9</v>
      </c>
      <c r="C74" s="141"/>
      <c r="D74" s="146"/>
      <c r="E74" s="146"/>
      <c r="F74" s="142">
        <f>IF(CapExp5JARC,JARC,IF(CapExp5NF,NF,""))</f>
      </c>
      <c r="G74" s="234"/>
      <c r="H74" s="234"/>
      <c r="I74" s="234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s="116" customFormat="1" ht="15">
      <c r="A75" s="132"/>
      <c r="B75" s="134" t="s">
        <v>9</v>
      </c>
      <c r="C75" s="141"/>
      <c r="D75" s="146"/>
      <c r="E75" s="146"/>
      <c r="F75" s="142">
        <f>IF(CapExp6JARC,JARC,IF(CapExp6NF,NF,""))</f>
      </c>
      <c r="G75" s="234"/>
      <c r="H75" s="234"/>
      <c r="I75" s="234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s="116" customFormat="1" ht="15">
      <c r="A76" s="132"/>
      <c r="B76" s="134" t="s">
        <v>9</v>
      </c>
      <c r="C76" s="143"/>
      <c r="D76" s="146"/>
      <c r="E76" s="146"/>
      <c r="F76" s="142">
        <f>IF(CapExp7JARC,JARC,IF(CapExp7NF,NF,""))</f>
      </c>
      <c r="G76" s="234"/>
      <c r="H76" s="234"/>
      <c r="I76" s="234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</row>
    <row r="77" spans="1:24" s="116" customFormat="1" ht="15">
      <c r="A77" s="132"/>
      <c r="B77" s="134" t="s">
        <v>9</v>
      </c>
      <c r="C77" s="143"/>
      <c r="D77" s="146"/>
      <c r="E77" s="146"/>
      <c r="F77" s="142">
        <f>IF(CapExp8JARC,JARC,IF(CapExp8NF,NF,""))</f>
      </c>
      <c r="G77" s="234"/>
      <c r="H77" s="234"/>
      <c r="I77" s="234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</row>
    <row r="78" spans="1:24" s="116" customFormat="1" ht="15">
      <c r="A78" s="132"/>
      <c r="B78" s="134" t="s">
        <v>9</v>
      </c>
      <c r="C78" s="143"/>
      <c r="D78" s="146"/>
      <c r="E78" s="146"/>
      <c r="F78" s="142">
        <f>IF(CapExp9JARC,JARC,IF(CapExp9NF,NF,""))</f>
      </c>
      <c r="G78" s="234"/>
      <c r="H78" s="234"/>
      <c r="I78" s="234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s="116" customFormat="1" ht="15">
      <c r="A79" s="132"/>
      <c r="B79" s="134" t="s">
        <v>9</v>
      </c>
      <c r="C79" s="143"/>
      <c r="D79" s="146"/>
      <c r="E79" s="146"/>
      <c r="F79" s="142">
        <f>IF(CapExp10JARC,JARC,IF(CapExp10NF,NF,""))</f>
      </c>
      <c r="G79" s="234"/>
      <c r="H79" s="234"/>
      <c r="I79" s="234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spans="1:24" s="116" customFormat="1" ht="15">
      <c r="A80" s="189" t="s">
        <v>178</v>
      </c>
      <c r="B80" s="189"/>
      <c r="C80" s="189"/>
      <c r="D80" s="189"/>
      <c r="E80" s="157">
        <f>SUMIF(F70:F79,"JARC",E70:E79)</f>
        <v>0</v>
      </c>
      <c r="F80" s="157"/>
      <c r="G80" s="234"/>
      <c r="H80" s="234"/>
      <c r="I80" s="234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s="116" customFormat="1" ht="15">
      <c r="A81" s="189" t="s">
        <v>150</v>
      </c>
      <c r="B81" s="189"/>
      <c r="C81" s="189"/>
      <c r="D81" s="189"/>
      <c r="E81" s="157">
        <f>SUMIF(F70:F79,"New Freedom",E70:E79)</f>
        <v>0</v>
      </c>
      <c r="F81" s="157"/>
      <c r="G81" s="234"/>
      <c r="H81" s="234"/>
      <c r="I81" s="234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</row>
    <row r="82" spans="1:24" s="116" customFormat="1" ht="15">
      <c r="A82" s="189" t="s">
        <v>151</v>
      </c>
      <c r="B82" s="189"/>
      <c r="C82" s="189"/>
      <c r="D82" s="189"/>
      <c r="E82" s="157" t="str">
        <f>IF(PTCapital,totalcapexp,IF(PTOpCap,totalcapexp,"N/A"))</f>
        <v>N/A</v>
      </c>
      <c r="F82" s="157"/>
      <c r="G82" s="234"/>
      <c r="H82" s="234"/>
      <c r="I82" s="234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</row>
    <row r="83" spans="1:24" s="122" customFormat="1" ht="15">
      <c r="A83" s="222" t="s">
        <v>198</v>
      </c>
      <c r="B83" s="222"/>
      <c r="C83" s="222"/>
      <c r="D83" s="222"/>
      <c r="E83" s="222"/>
      <c r="F83" s="222"/>
      <c r="G83" s="222"/>
      <c r="H83" s="222"/>
      <c r="I83" s="222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</row>
    <row r="84" spans="1:24" s="116" customFormat="1" ht="15">
      <c r="A84" s="193" t="s">
        <v>185</v>
      </c>
      <c r="B84" s="193"/>
      <c r="C84" s="192" t="s">
        <v>115</v>
      </c>
      <c r="D84" s="192"/>
      <c r="E84" s="194"/>
      <c r="F84" s="194"/>
      <c r="G84" s="194"/>
      <c r="H84" s="194"/>
      <c r="I84" s="194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spans="1:24" s="116" customFormat="1" ht="15">
      <c r="A85" s="176"/>
      <c r="B85" s="176"/>
      <c r="C85" s="191"/>
      <c r="D85" s="191"/>
      <c r="E85" s="194"/>
      <c r="F85" s="194"/>
      <c r="G85" s="194"/>
      <c r="H85" s="194"/>
      <c r="I85" s="194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</row>
    <row r="86" spans="1:24" s="116" customFormat="1" ht="15">
      <c r="A86" s="176"/>
      <c r="B86" s="176"/>
      <c r="C86" s="191"/>
      <c r="D86" s="191"/>
      <c r="E86" s="194"/>
      <c r="F86" s="194"/>
      <c r="G86" s="194"/>
      <c r="H86" s="194"/>
      <c r="I86" s="194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</row>
    <row r="87" spans="1:24" s="116" customFormat="1" ht="15">
      <c r="A87" s="176"/>
      <c r="B87" s="176"/>
      <c r="C87" s="191"/>
      <c r="D87" s="191"/>
      <c r="E87" s="194"/>
      <c r="F87" s="194"/>
      <c r="G87" s="194"/>
      <c r="H87" s="194"/>
      <c r="I87" s="194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</row>
    <row r="88" spans="1:24" s="116" customFormat="1" ht="15">
      <c r="A88" s="176"/>
      <c r="B88" s="176"/>
      <c r="C88" s="191"/>
      <c r="D88" s="191"/>
      <c r="E88" s="194"/>
      <c r="F88" s="194"/>
      <c r="G88" s="194"/>
      <c r="H88" s="194"/>
      <c r="I88" s="194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</row>
    <row r="89" spans="1:24" s="116" customFormat="1" ht="15">
      <c r="A89" s="176"/>
      <c r="B89" s="176"/>
      <c r="C89" s="191"/>
      <c r="D89" s="191"/>
      <c r="E89" s="194"/>
      <c r="F89" s="194"/>
      <c r="G89" s="194"/>
      <c r="H89" s="194"/>
      <c r="I89" s="194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</row>
    <row r="90" spans="1:24" s="116" customFormat="1" ht="15">
      <c r="A90" s="176"/>
      <c r="B90" s="176"/>
      <c r="C90" s="191"/>
      <c r="D90" s="191"/>
      <c r="E90" s="194"/>
      <c r="F90" s="194"/>
      <c r="G90" s="194"/>
      <c r="H90" s="194"/>
      <c r="I90" s="194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s="116" customFormat="1" ht="15">
      <c r="A91" s="176"/>
      <c r="B91" s="176"/>
      <c r="C91" s="191"/>
      <c r="D91" s="191"/>
      <c r="E91" s="194"/>
      <c r="F91" s="194"/>
      <c r="G91" s="194"/>
      <c r="H91" s="194"/>
      <c r="I91" s="194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</row>
    <row r="92" spans="1:24" s="116" customFormat="1" ht="15">
      <c r="A92" s="176"/>
      <c r="B92" s="176"/>
      <c r="C92" s="191"/>
      <c r="D92" s="191"/>
      <c r="E92" s="194"/>
      <c r="F92" s="194"/>
      <c r="G92" s="194"/>
      <c r="H92" s="194"/>
      <c r="I92" s="194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s="116" customFormat="1" ht="15">
      <c r="A93" s="176"/>
      <c r="B93" s="176"/>
      <c r="C93" s="191"/>
      <c r="D93" s="191"/>
      <c r="E93" s="194"/>
      <c r="F93" s="194"/>
      <c r="G93" s="194"/>
      <c r="H93" s="194"/>
      <c r="I93" s="194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s="116" customFormat="1" ht="15">
      <c r="A94" s="176"/>
      <c r="B94" s="176"/>
      <c r="C94" s="191"/>
      <c r="D94" s="191"/>
      <c r="E94" s="194"/>
      <c r="F94" s="194"/>
      <c r="G94" s="194"/>
      <c r="H94" s="194"/>
      <c r="I94" s="194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s="116" customFormat="1" ht="15">
      <c r="A95" s="176"/>
      <c r="B95" s="176"/>
      <c r="C95" s="191"/>
      <c r="D95" s="191"/>
      <c r="E95" s="194"/>
      <c r="F95" s="194"/>
      <c r="G95" s="194"/>
      <c r="H95" s="194"/>
      <c r="I95" s="194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s="116" customFormat="1" ht="15">
      <c r="A96" s="176"/>
      <c r="B96" s="176"/>
      <c r="C96" s="191"/>
      <c r="D96" s="191"/>
      <c r="E96" s="194"/>
      <c r="F96" s="194"/>
      <c r="G96" s="194"/>
      <c r="H96" s="194"/>
      <c r="I96" s="194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116" customFormat="1" ht="15">
      <c r="A97" s="176"/>
      <c r="B97" s="176"/>
      <c r="C97" s="157"/>
      <c r="D97" s="157"/>
      <c r="E97" s="194"/>
      <c r="F97" s="194"/>
      <c r="G97" s="194"/>
      <c r="H97" s="194"/>
      <c r="I97" s="194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s="116" customFormat="1" ht="15">
      <c r="A98" s="176"/>
      <c r="B98" s="176"/>
      <c r="C98" s="157"/>
      <c r="D98" s="157"/>
      <c r="E98" s="194"/>
      <c r="F98" s="194"/>
      <c r="G98" s="194"/>
      <c r="H98" s="194"/>
      <c r="I98" s="194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s="116" customFormat="1" ht="15">
      <c r="A99" s="176"/>
      <c r="B99" s="176"/>
      <c r="C99" s="157"/>
      <c r="D99" s="157"/>
      <c r="E99" s="194"/>
      <c r="F99" s="194"/>
      <c r="G99" s="194"/>
      <c r="H99" s="194"/>
      <c r="I99" s="194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</row>
    <row r="100" spans="1:24" s="116" customFormat="1" ht="15">
      <c r="A100" s="176"/>
      <c r="B100" s="176"/>
      <c r="C100" s="157"/>
      <c r="D100" s="157"/>
      <c r="E100" s="194"/>
      <c r="F100" s="194"/>
      <c r="G100" s="194"/>
      <c r="H100" s="194"/>
      <c r="I100" s="194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</row>
    <row r="101" spans="1:24" s="116" customFormat="1" ht="15">
      <c r="A101" s="176"/>
      <c r="B101" s="176"/>
      <c r="C101" s="157"/>
      <c r="D101" s="157"/>
      <c r="E101" s="194"/>
      <c r="F101" s="194"/>
      <c r="G101" s="194"/>
      <c r="H101" s="194"/>
      <c r="I101" s="194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</row>
    <row r="102" spans="1:24" s="116" customFormat="1" ht="15">
      <c r="A102" s="176"/>
      <c r="B102" s="176"/>
      <c r="C102" s="157"/>
      <c r="D102" s="157"/>
      <c r="E102" s="194"/>
      <c r="F102" s="194"/>
      <c r="G102" s="194"/>
      <c r="H102" s="194"/>
      <c r="I102" s="194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</row>
    <row r="103" spans="1:24" s="116" customFormat="1" ht="15">
      <c r="A103" s="176"/>
      <c r="B103" s="176"/>
      <c r="C103" s="157"/>
      <c r="D103" s="157"/>
      <c r="E103" s="194"/>
      <c r="F103" s="194"/>
      <c r="G103" s="194"/>
      <c r="H103" s="194"/>
      <c r="I103" s="194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</row>
    <row r="104" spans="1:24" s="116" customFormat="1" ht="15">
      <c r="A104" s="176"/>
      <c r="B104" s="176"/>
      <c r="C104" s="157"/>
      <c r="D104" s="157"/>
      <c r="E104" s="194"/>
      <c r="F104" s="194"/>
      <c r="G104" s="194"/>
      <c r="H104" s="194"/>
      <c r="I104" s="194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spans="1:24" s="116" customFormat="1" ht="15">
      <c r="A105" s="189" t="s">
        <v>180</v>
      </c>
      <c r="B105" s="189"/>
      <c r="C105" s="157"/>
      <c r="D105" s="157"/>
      <c r="E105" s="194"/>
      <c r="F105" s="194"/>
      <c r="G105" s="194"/>
      <c r="H105" s="194"/>
      <c r="I105" s="194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s="122" customFormat="1" ht="15">
      <c r="A106" s="166" t="s">
        <v>199</v>
      </c>
      <c r="B106" s="166"/>
      <c r="C106" s="166"/>
      <c r="D106" s="166"/>
      <c r="E106" s="166"/>
      <c r="F106" s="166"/>
      <c r="G106" s="166"/>
      <c r="H106" s="166"/>
      <c r="I106" s="166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</row>
    <row r="107" spans="1:24" s="116" customFormat="1" ht="15">
      <c r="A107" s="195" t="s">
        <v>182</v>
      </c>
      <c r="B107" s="195"/>
      <c r="C107" s="151" t="s">
        <v>113</v>
      </c>
      <c r="D107" s="151"/>
      <c r="E107" s="187"/>
      <c r="F107" s="187"/>
      <c r="G107" s="187"/>
      <c r="H107" s="187"/>
      <c r="I107" s="187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1:24" s="116" customFormat="1" ht="15">
      <c r="A108" s="169"/>
      <c r="B108" s="169"/>
      <c r="C108" s="149"/>
      <c r="D108" s="149"/>
      <c r="E108" s="187"/>
      <c r="F108" s="187"/>
      <c r="G108" s="187"/>
      <c r="H108" s="187"/>
      <c r="I108" s="187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s="116" customFormat="1" ht="15">
      <c r="A109" s="169"/>
      <c r="B109" s="169"/>
      <c r="C109" s="149"/>
      <c r="D109" s="149"/>
      <c r="E109" s="187"/>
      <c r="F109" s="187"/>
      <c r="G109" s="187"/>
      <c r="H109" s="187"/>
      <c r="I109" s="187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s="116" customFormat="1" ht="15">
      <c r="A110" s="169"/>
      <c r="B110" s="169"/>
      <c r="C110" s="149"/>
      <c r="D110" s="149"/>
      <c r="E110" s="187"/>
      <c r="F110" s="187"/>
      <c r="G110" s="187"/>
      <c r="H110" s="187"/>
      <c r="I110" s="187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1:24" s="116" customFormat="1" ht="15">
      <c r="A111" s="169"/>
      <c r="B111" s="169"/>
      <c r="C111" s="149"/>
      <c r="D111" s="149"/>
      <c r="E111" s="187"/>
      <c r="F111" s="187"/>
      <c r="G111" s="187"/>
      <c r="H111" s="187"/>
      <c r="I111" s="187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116" customFormat="1" ht="15">
      <c r="A112" s="169"/>
      <c r="B112" s="169"/>
      <c r="C112" s="149"/>
      <c r="D112" s="149"/>
      <c r="E112" s="187"/>
      <c r="F112" s="187"/>
      <c r="G112" s="187"/>
      <c r="H112" s="187"/>
      <c r="I112" s="187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116" customFormat="1" ht="15">
      <c r="A113" s="169"/>
      <c r="B113" s="169"/>
      <c r="C113" s="149"/>
      <c r="D113" s="149"/>
      <c r="E113" s="187"/>
      <c r="F113" s="187"/>
      <c r="G113" s="187"/>
      <c r="H113" s="187"/>
      <c r="I113" s="187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s="116" customFormat="1" ht="15">
      <c r="A114" s="169"/>
      <c r="B114" s="169"/>
      <c r="C114" s="170"/>
      <c r="D114" s="170"/>
      <c r="E114" s="187"/>
      <c r="F114" s="187"/>
      <c r="G114" s="187"/>
      <c r="H114" s="187"/>
      <c r="I114" s="187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s="116" customFormat="1" ht="15">
      <c r="A115" s="169"/>
      <c r="B115" s="169"/>
      <c r="C115" s="170"/>
      <c r="D115" s="170"/>
      <c r="E115" s="187"/>
      <c r="F115" s="187"/>
      <c r="G115" s="187"/>
      <c r="H115" s="187"/>
      <c r="I115" s="187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s="116" customFormat="1" ht="15">
      <c r="A116" s="169"/>
      <c r="B116" s="169"/>
      <c r="C116" s="170"/>
      <c r="D116" s="170"/>
      <c r="E116" s="187"/>
      <c r="F116" s="187"/>
      <c r="G116" s="187"/>
      <c r="H116" s="187"/>
      <c r="I116" s="187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1:24" s="116" customFormat="1" ht="15">
      <c r="A117" s="169"/>
      <c r="B117" s="169"/>
      <c r="C117" s="170"/>
      <c r="D117" s="170"/>
      <c r="E117" s="187"/>
      <c r="F117" s="187"/>
      <c r="G117" s="187"/>
      <c r="H117" s="187"/>
      <c r="I117" s="187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s="116" customFormat="1" ht="15">
      <c r="A118" s="169"/>
      <c r="B118" s="169"/>
      <c r="C118" s="170"/>
      <c r="D118" s="170"/>
      <c r="E118" s="187"/>
      <c r="F118" s="187"/>
      <c r="G118" s="187"/>
      <c r="H118" s="187"/>
      <c r="I118" s="187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s="116" customFormat="1" ht="15">
      <c r="A119" s="169"/>
      <c r="B119" s="169"/>
      <c r="C119" s="170"/>
      <c r="D119" s="170"/>
      <c r="E119" s="187"/>
      <c r="F119" s="187"/>
      <c r="G119" s="187"/>
      <c r="H119" s="187"/>
      <c r="I119" s="187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s="116" customFormat="1" ht="15">
      <c r="A120" s="169"/>
      <c r="B120" s="169"/>
      <c r="C120" s="170"/>
      <c r="D120" s="170"/>
      <c r="E120" s="187"/>
      <c r="F120" s="187"/>
      <c r="G120" s="187"/>
      <c r="H120" s="187"/>
      <c r="I120" s="187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s="116" customFormat="1" ht="15">
      <c r="A121" s="169"/>
      <c r="B121" s="169"/>
      <c r="C121" s="170"/>
      <c r="D121" s="170"/>
      <c r="E121" s="187"/>
      <c r="F121" s="187"/>
      <c r="G121" s="187"/>
      <c r="H121" s="187"/>
      <c r="I121" s="187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116" customFormat="1" ht="15">
      <c r="A122" s="169"/>
      <c r="B122" s="169"/>
      <c r="C122" s="170"/>
      <c r="D122" s="170"/>
      <c r="E122" s="187"/>
      <c r="F122" s="187"/>
      <c r="G122" s="187"/>
      <c r="H122" s="187"/>
      <c r="I122" s="187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s="116" customFormat="1" ht="15">
      <c r="A123" s="169"/>
      <c r="B123" s="169"/>
      <c r="C123" s="170"/>
      <c r="D123" s="170"/>
      <c r="E123" s="187"/>
      <c r="F123" s="187"/>
      <c r="G123" s="187"/>
      <c r="H123" s="187"/>
      <c r="I123" s="187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1:24" s="116" customFormat="1" ht="15">
      <c r="A124" s="169"/>
      <c r="B124" s="169"/>
      <c r="C124" s="170"/>
      <c r="D124" s="170"/>
      <c r="E124" s="187"/>
      <c r="F124" s="187"/>
      <c r="G124" s="187"/>
      <c r="H124" s="187"/>
      <c r="I124" s="187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s="116" customFormat="1" ht="15">
      <c r="A125" s="169"/>
      <c r="B125" s="169"/>
      <c r="C125" s="170"/>
      <c r="D125" s="170"/>
      <c r="E125" s="187"/>
      <c r="F125" s="187"/>
      <c r="G125" s="187"/>
      <c r="H125" s="187"/>
      <c r="I125" s="187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s="116" customFormat="1" ht="15">
      <c r="A126" s="169"/>
      <c r="B126" s="169"/>
      <c r="C126" s="170"/>
      <c r="D126" s="170"/>
      <c r="E126" s="187"/>
      <c r="F126" s="187"/>
      <c r="G126" s="187"/>
      <c r="H126" s="187"/>
      <c r="I126" s="187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1:24" s="116" customFormat="1" ht="15">
      <c r="A127" s="169"/>
      <c r="B127" s="169"/>
      <c r="C127" s="170"/>
      <c r="D127" s="170"/>
      <c r="E127" s="187"/>
      <c r="F127" s="187"/>
      <c r="G127" s="187"/>
      <c r="H127" s="187"/>
      <c r="I127" s="187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</row>
    <row r="128" spans="1:24" s="116" customFormat="1" ht="15">
      <c r="A128" s="148" t="s">
        <v>181</v>
      </c>
      <c r="B128" s="148"/>
      <c r="C128" s="170"/>
      <c r="D128" s="170"/>
      <c r="E128" s="187"/>
      <c r="F128" s="187"/>
      <c r="G128" s="187"/>
      <c r="H128" s="187"/>
      <c r="I128" s="187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</row>
    <row r="129" spans="1:24" s="122" customFormat="1" ht="15">
      <c r="A129" s="166" t="s">
        <v>183</v>
      </c>
      <c r="B129" s="166"/>
      <c r="C129" s="166"/>
      <c r="D129" s="166"/>
      <c r="E129" s="166"/>
      <c r="F129" s="166"/>
      <c r="G129" s="166"/>
      <c r="H129" s="166"/>
      <c r="I129" s="166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</row>
    <row r="130" spans="1:24" s="116" customFormat="1" ht="30">
      <c r="A130" s="123" t="s">
        <v>184</v>
      </c>
      <c r="B130" s="196" t="str">
        <f>IF(JARCPlngMktg,"No","Yes")</f>
        <v>Yes</v>
      </c>
      <c r="C130" s="196"/>
      <c r="D130" s="196"/>
      <c r="E130" s="196"/>
      <c r="F130" s="196"/>
      <c r="G130" s="196"/>
      <c r="H130" s="196"/>
      <c r="I130" s="196"/>
      <c r="J130" s="124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</row>
    <row r="131" spans="1:24" s="116" customFormat="1" ht="60" customHeight="1">
      <c r="A131" s="123" t="s">
        <v>117</v>
      </c>
      <c r="B131" s="216">
        <f>IF(JARCPlngMktg,"N/A",JARCLongTermEffect)</f>
        <v>0</v>
      </c>
      <c r="C131" s="217"/>
      <c r="D131" s="217"/>
      <c r="E131" s="217"/>
      <c r="F131" s="217"/>
      <c r="G131" s="217"/>
      <c r="H131" s="217"/>
      <c r="I131" s="218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</row>
    <row r="132" spans="1:24" s="116" customFormat="1" ht="30">
      <c r="A132" s="123" t="s">
        <v>114</v>
      </c>
      <c r="B132" s="196" t="str">
        <f>IF(JARCPlngMktg,"N/A","See funding sources below")</f>
        <v>See funding sources below</v>
      </c>
      <c r="C132" s="196"/>
      <c r="D132" s="196"/>
      <c r="E132" s="196"/>
      <c r="F132" s="196"/>
      <c r="G132" s="196"/>
      <c r="H132" s="196"/>
      <c r="I132" s="196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</row>
    <row r="133" spans="1:24" s="116" customFormat="1" ht="15">
      <c r="A133" s="76" t="s">
        <v>116</v>
      </c>
      <c r="B133" s="151" t="s">
        <v>115</v>
      </c>
      <c r="C133" s="197"/>
      <c r="D133" s="187"/>
      <c r="E133" s="187"/>
      <c r="F133" s="187"/>
      <c r="G133" s="187"/>
      <c r="H133" s="187"/>
      <c r="I133" s="187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</row>
    <row r="134" spans="1:24" s="116" customFormat="1" ht="15">
      <c r="A134" s="109"/>
      <c r="B134" s="170"/>
      <c r="C134" s="188"/>
      <c r="D134" s="187"/>
      <c r="E134" s="187"/>
      <c r="F134" s="187"/>
      <c r="G134" s="187"/>
      <c r="H134" s="187"/>
      <c r="I134" s="187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</row>
    <row r="135" spans="1:24" s="116" customFormat="1" ht="15">
      <c r="A135" s="109"/>
      <c r="B135" s="170"/>
      <c r="C135" s="188"/>
      <c r="D135" s="187"/>
      <c r="E135" s="187"/>
      <c r="F135" s="187"/>
      <c r="G135" s="187"/>
      <c r="H135" s="187"/>
      <c r="I135" s="187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1:24" s="116" customFormat="1" ht="15">
      <c r="A136" s="109"/>
      <c r="B136" s="170"/>
      <c r="C136" s="188"/>
      <c r="D136" s="187"/>
      <c r="E136" s="187"/>
      <c r="F136" s="187"/>
      <c r="G136" s="187"/>
      <c r="H136" s="187"/>
      <c r="I136" s="187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s="116" customFormat="1" ht="15">
      <c r="A137" s="109"/>
      <c r="B137" s="170"/>
      <c r="C137" s="188"/>
      <c r="D137" s="187"/>
      <c r="E137" s="187"/>
      <c r="F137" s="187"/>
      <c r="G137" s="187"/>
      <c r="H137" s="187"/>
      <c r="I137" s="187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s="116" customFormat="1" ht="15">
      <c r="A138" s="109"/>
      <c r="B138" s="170"/>
      <c r="C138" s="188"/>
      <c r="D138" s="187"/>
      <c r="E138" s="187"/>
      <c r="F138" s="187"/>
      <c r="G138" s="187"/>
      <c r="H138" s="187"/>
      <c r="I138" s="187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</row>
    <row r="139" spans="1:24" s="116" customFormat="1" ht="15">
      <c r="A139" s="109"/>
      <c r="B139" s="170"/>
      <c r="C139" s="188"/>
      <c r="D139" s="187"/>
      <c r="E139" s="187"/>
      <c r="F139" s="187"/>
      <c r="G139" s="187"/>
      <c r="H139" s="187"/>
      <c r="I139" s="187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s="116" customFormat="1" ht="15">
      <c r="A140" s="109"/>
      <c r="B140" s="170"/>
      <c r="C140" s="188"/>
      <c r="D140" s="187"/>
      <c r="E140" s="187"/>
      <c r="F140" s="187"/>
      <c r="G140" s="187"/>
      <c r="H140" s="187"/>
      <c r="I140" s="187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1:24" s="116" customFormat="1" ht="15">
      <c r="A141" s="109"/>
      <c r="B141" s="170"/>
      <c r="C141" s="188"/>
      <c r="D141" s="187"/>
      <c r="E141" s="187"/>
      <c r="F141" s="187"/>
      <c r="G141" s="187"/>
      <c r="H141" s="187"/>
      <c r="I141" s="187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s="116" customFormat="1" ht="15">
      <c r="A142" s="109"/>
      <c r="B142" s="170"/>
      <c r="C142" s="188"/>
      <c r="D142" s="187"/>
      <c r="E142" s="187"/>
      <c r="F142" s="187"/>
      <c r="G142" s="187"/>
      <c r="H142" s="187"/>
      <c r="I142" s="187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s="116" customFormat="1" ht="15">
      <c r="A143" s="109"/>
      <c r="B143" s="170"/>
      <c r="C143" s="188"/>
      <c r="D143" s="187"/>
      <c r="E143" s="187"/>
      <c r="F143" s="187"/>
      <c r="G143" s="187"/>
      <c r="H143" s="187"/>
      <c r="I143" s="187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</row>
    <row r="144" spans="1:24" s="116" customFormat="1" ht="42.75">
      <c r="A144" s="43" t="s">
        <v>193</v>
      </c>
      <c r="B144" s="170">
        <f>IF(JARCPlngMktg,"N/A",(SUM(B134:B143)))</f>
        <v>0</v>
      </c>
      <c r="C144" s="170"/>
      <c r="D144" s="187"/>
      <c r="E144" s="187"/>
      <c r="F144" s="187"/>
      <c r="G144" s="187"/>
      <c r="H144" s="187"/>
      <c r="I144" s="187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</row>
    <row r="145" spans="1:24" s="116" customFormat="1" ht="15">
      <c r="A145" s="219" t="s">
        <v>194</v>
      </c>
      <c r="B145" s="220"/>
      <c r="C145" s="220"/>
      <c r="D145" s="220"/>
      <c r="E145" s="220"/>
      <c r="F145" s="220"/>
      <c r="G145" s="220"/>
      <c r="H145" s="220"/>
      <c r="I145" s="221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</row>
    <row r="146" spans="1:24" s="126" customFormat="1" ht="14.25" customHeight="1">
      <c r="A146" s="159" t="s">
        <v>142</v>
      </c>
      <c r="B146" s="160"/>
      <c r="C146" s="160"/>
      <c r="D146" s="160"/>
      <c r="E146" s="160"/>
      <c r="F146" s="160"/>
      <c r="G146" s="160"/>
      <c r="H146" s="160"/>
      <c r="I146" s="161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</row>
    <row r="147" spans="1:256" s="126" customFormat="1" ht="15">
      <c r="A147" s="75" t="s">
        <v>140</v>
      </c>
      <c r="B147" s="151" t="s">
        <v>141</v>
      </c>
      <c r="C147" s="151"/>
      <c r="D147" s="164" t="s">
        <v>25</v>
      </c>
      <c r="E147" s="164"/>
      <c r="F147" s="215"/>
      <c r="G147" s="215"/>
      <c r="H147" s="215"/>
      <c r="I147" s="215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  <c r="IV147" s="34"/>
    </row>
    <row r="148" spans="1:24" s="116" customFormat="1" ht="45">
      <c r="A148" s="123" t="s">
        <v>118</v>
      </c>
      <c r="B148" s="198"/>
      <c r="C148" s="198"/>
      <c r="D148" s="200">
        <f>IF(OpExp1JARC,JARC,IF(OpExp1NF,NF,""))</f>
      </c>
      <c r="E148" s="200"/>
      <c r="F148" s="215"/>
      <c r="G148" s="215"/>
      <c r="H148" s="215"/>
      <c r="I148" s="2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</row>
    <row r="149" spans="1:24" s="116" customFormat="1" ht="30">
      <c r="A149" s="123" t="s">
        <v>119</v>
      </c>
      <c r="B149" s="170"/>
      <c r="C149" s="170"/>
      <c r="D149" s="199">
        <f>IF(OpExp2JARC,JARC,IF(OpExp2NF,NF,""))</f>
      </c>
      <c r="E149" s="199"/>
      <c r="F149" s="215"/>
      <c r="G149" s="215"/>
      <c r="H149" s="215"/>
      <c r="I149" s="2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</row>
    <row r="150" spans="1:24" s="116" customFormat="1" ht="15">
      <c r="A150" s="123" t="s">
        <v>124</v>
      </c>
      <c r="B150" s="170">
        <v>0</v>
      </c>
      <c r="C150" s="170"/>
      <c r="D150" s="150">
        <f>IF(OpExp3JARC,JARC,IF(OpExp3NF,NF,""))</f>
      </c>
      <c r="E150" s="150"/>
      <c r="F150" s="215"/>
      <c r="G150" s="215"/>
      <c r="H150" s="215"/>
      <c r="I150" s="2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</row>
    <row r="151" spans="1:24" s="116" customFormat="1" ht="15">
      <c r="A151" s="109" t="s">
        <v>125</v>
      </c>
      <c r="B151" s="170"/>
      <c r="C151" s="170"/>
      <c r="D151" s="150"/>
      <c r="E151" s="150"/>
      <c r="F151" s="215"/>
      <c r="G151" s="215"/>
      <c r="H151" s="215"/>
      <c r="I151" s="2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</row>
    <row r="152" spans="1:24" s="116" customFormat="1" ht="15">
      <c r="A152" s="109" t="s">
        <v>126</v>
      </c>
      <c r="B152" s="170"/>
      <c r="C152" s="170"/>
      <c r="D152" s="150"/>
      <c r="E152" s="150"/>
      <c r="F152" s="215"/>
      <c r="G152" s="215"/>
      <c r="H152" s="215"/>
      <c r="I152" s="2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</row>
    <row r="153" spans="1:24" s="116" customFormat="1" ht="15">
      <c r="A153" s="109" t="s">
        <v>127</v>
      </c>
      <c r="B153" s="170"/>
      <c r="C153" s="170"/>
      <c r="D153" s="150"/>
      <c r="E153" s="150"/>
      <c r="F153" s="215"/>
      <c r="G153" s="215"/>
      <c r="H153" s="215"/>
      <c r="I153" s="2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1:24" s="116" customFormat="1" ht="15">
      <c r="A154" s="123"/>
      <c r="B154" s="170"/>
      <c r="C154" s="170"/>
      <c r="D154" s="150"/>
      <c r="E154" s="150"/>
      <c r="F154" s="215"/>
      <c r="G154" s="215"/>
      <c r="H154" s="215"/>
      <c r="I154" s="2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</row>
    <row r="155" spans="1:24" s="116" customFormat="1" ht="15">
      <c r="A155" s="123"/>
      <c r="B155" s="170"/>
      <c r="C155" s="170"/>
      <c r="D155" s="150"/>
      <c r="E155" s="150"/>
      <c r="F155" s="215"/>
      <c r="G155" s="215"/>
      <c r="H155" s="215"/>
      <c r="I155" s="2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</row>
    <row r="156" spans="1:24" s="116" customFormat="1" ht="15">
      <c r="A156" s="159" t="s">
        <v>143</v>
      </c>
      <c r="B156" s="160"/>
      <c r="C156" s="160"/>
      <c r="D156" s="160"/>
      <c r="E156" s="160"/>
      <c r="F156" s="160"/>
      <c r="G156" s="160"/>
      <c r="H156" s="160"/>
      <c r="I156" s="161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</row>
    <row r="157" spans="1:256" s="126" customFormat="1" ht="15">
      <c r="A157" s="35" t="s">
        <v>140</v>
      </c>
      <c r="B157" s="151" t="s">
        <v>141</v>
      </c>
      <c r="C157" s="151"/>
      <c r="D157" s="164" t="s">
        <v>25</v>
      </c>
      <c r="E157" s="164"/>
      <c r="F157" s="215"/>
      <c r="G157" s="215"/>
      <c r="H157" s="215"/>
      <c r="I157" s="215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  <c r="IO157" s="34"/>
      <c r="IP157" s="34"/>
      <c r="IQ157" s="34"/>
      <c r="IR157" s="34"/>
      <c r="IS157" s="34"/>
      <c r="IT157" s="34"/>
      <c r="IU157" s="34"/>
      <c r="IV157" s="34"/>
    </row>
    <row r="158" spans="1:24" s="116" customFormat="1" ht="15">
      <c r="A158" s="123" t="s">
        <v>120</v>
      </c>
      <c r="B158" s="170"/>
      <c r="C158" s="170"/>
      <c r="D158" s="162">
        <f>IF(OpExp4JARC,JARC,IF(OpExp4NF,NF,""))</f>
      </c>
      <c r="E158" s="162"/>
      <c r="F158" s="215"/>
      <c r="G158" s="215"/>
      <c r="H158" s="215"/>
      <c r="I158" s="2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</row>
    <row r="159" spans="1:24" s="116" customFormat="1" ht="15">
      <c r="A159" s="123" t="s">
        <v>121</v>
      </c>
      <c r="B159" s="170"/>
      <c r="C159" s="170"/>
      <c r="D159" s="162">
        <f>IF(OpExp5JARC,JARC,IF(OpExp5NF,NF,""))</f>
      </c>
      <c r="E159" s="162"/>
      <c r="F159" s="215"/>
      <c r="G159" s="215"/>
      <c r="H159" s="215"/>
      <c r="I159" s="2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</row>
    <row r="160" spans="1:24" s="116" customFormat="1" ht="15">
      <c r="A160" s="123" t="s">
        <v>122</v>
      </c>
      <c r="B160" s="170"/>
      <c r="C160" s="170"/>
      <c r="D160" s="162">
        <f>IF(OpExp6JARC,JARC,IF(OpExp6NF,NF,""))</f>
      </c>
      <c r="E160" s="162"/>
      <c r="F160" s="215"/>
      <c r="G160" s="215"/>
      <c r="H160" s="215"/>
      <c r="I160" s="2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</row>
    <row r="161" spans="1:24" s="116" customFormat="1" ht="15">
      <c r="A161" s="123" t="s">
        <v>123</v>
      </c>
      <c r="B161" s="170"/>
      <c r="C161" s="170"/>
      <c r="D161" s="162">
        <f>IF(OpExp7JARC,JARC,IF(OpExp7NF,NF,""))</f>
      </c>
      <c r="E161" s="162"/>
      <c r="F161" s="215"/>
      <c r="G161" s="215"/>
      <c r="H161" s="215"/>
      <c r="I161" s="2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</row>
    <row r="162" spans="1:24" s="116" customFormat="1" ht="15">
      <c r="A162" s="108"/>
      <c r="B162" s="170"/>
      <c r="C162" s="170"/>
      <c r="D162" s="162">
        <f>IF(OpExp8JARC,JARC,IF(OpExp8NF,NF,""))</f>
      </c>
      <c r="E162" s="162"/>
      <c r="F162" s="215"/>
      <c r="G162" s="215"/>
      <c r="H162" s="215"/>
      <c r="I162" s="2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</row>
    <row r="163" spans="1:24" s="116" customFormat="1" ht="15">
      <c r="A163" s="145"/>
      <c r="B163" s="170"/>
      <c r="C163" s="170"/>
      <c r="D163" s="162">
        <f>IF(OpExp9JARC,JARC,IF(OpExp9NF,NF,""))</f>
      </c>
      <c r="E163" s="162"/>
      <c r="F163" s="215"/>
      <c r="G163" s="215"/>
      <c r="H163" s="215"/>
      <c r="I163" s="2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spans="1:24" s="116" customFormat="1" ht="15">
      <c r="A164" s="108"/>
      <c r="B164" s="170"/>
      <c r="C164" s="170"/>
      <c r="D164" s="162">
        <f>IF(OpExp10JARC,JARC,IF(OpExp10NF,NF,""))</f>
      </c>
      <c r="E164" s="162"/>
      <c r="F164" s="215"/>
      <c r="G164" s="215"/>
      <c r="H164" s="215"/>
      <c r="I164" s="2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spans="1:24" s="116" customFormat="1" ht="15">
      <c r="A165" s="108"/>
      <c r="B165" s="170"/>
      <c r="C165" s="170"/>
      <c r="D165" s="162">
        <f>IF(OpExp11JARC,JARC,IF(OpExp11NF,NF,""))</f>
      </c>
      <c r="E165" s="162"/>
      <c r="F165" s="215"/>
      <c r="G165" s="215"/>
      <c r="H165" s="215"/>
      <c r="I165" s="2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s="116" customFormat="1" ht="15">
      <c r="A166" s="108"/>
      <c r="B166" s="170"/>
      <c r="C166" s="170"/>
      <c r="D166" s="162">
        <f>IF(OpExp12JARC,JARC,IF(OpExp12NF,NF,""))</f>
      </c>
      <c r="E166" s="162"/>
      <c r="F166" s="215"/>
      <c r="G166" s="215"/>
      <c r="H166" s="215"/>
      <c r="I166" s="2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spans="1:24" s="116" customFormat="1" ht="15">
      <c r="A167" s="181" t="s">
        <v>195</v>
      </c>
      <c r="B167" s="181"/>
      <c r="C167" s="181"/>
      <c r="D167" s="181"/>
      <c r="E167" s="214">
        <f>SUMIF(D148:D166,"JARC",B148:B166)</f>
        <v>0</v>
      </c>
      <c r="F167" s="214"/>
      <c r="G167" s="214"/>
      <c r="H167" s="214"/>
      <c r="I167" s="214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1:24" s="116" customFormat="1" ht="15">
      <c r="A168" s="181" t="s">
        <v>156</v>
      </c>
      <c r="B168" s="181"/>
      <c r="C168" s="181"/>
      <c r="D168" s="181"/>
      <c r="E168" s="214">
        <f>SUMIF($D$148:$D$166,"New Freedom",$B$148:$B$166)</f>
        <v>0</v>
      </c>
      <c r="F168" s="214"/>
      <c r="G168" s="214"/>
      <c r="H168" s="214"/>
      <c r="I168" s="214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</row>
    <row r="169" spans="1:24" s="116" customFormat="1" ht="15">
      <c r="A169" s="181" t="s">
        <v>155</v>
      </c>
      <c r="B169" s="181"/>
      <c r="C169" s="181"/>
      <c r="D169" s="181"/>
      <c r="E169" s="214" t="str">
        <f>IF(PTOperating,totalopexp,IF(PTOpCap,totalopexp,"N/A"))</f>
        <v>N/A</v>
      </c>
      <c r="F169" s="214"/>
      <c r="G169" s="214"/>
      <c r="H169" s="214"/>
      <c r="I169" s="214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</row>
    <row r="170" spans="1:24" s="116" customFormat="1" ht="15">
      <c r="A170" s="159" t="s">
        <v>144</v>
      </c>
      <c r="B170" s="160"/>
      <c r="C170" s="160"/>
      <c r="D170" s="160"/>
      <c r="E170" s="160"/>
      <c r="F170" s="160"/>
      <c r="G170" s="160"/>
      <c r="H170" s="160"/>
      <c r="I170" s="161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</row>
    <row r="171" spans="1:24" s="116" customFormat="1" ht="15">
      <c r="A171" s="35" t="s">
        <v>196</v>
      </c>
      <c r="B171" s="151" t="s">
        <v>115</v>
      </c>
      <c r="C171" s="151"/>
      <c r="D171" s="187"/>
      <c r="E171" s="187"/>
      <c r="F171" s="187"/>
      <c r="G171" s="187"/>
      <c r="H171" s="187"/>
      <c r="I171" s="187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</row>
    <row r="172" spans="1:24" s="116" customFormat="1" ht="15">
      <c r="A172" s="108" t="s">
        <v>128</v>
      </c>
      <c r="B172" s="170"/>
      <c r="C172" s="170"/>
      <c r="D172" s="187"/>
      <c r="E172" s="187"/>
      <c r="F172" s="187"/>
      <c r="G172" s="187"/>
      <c r="H172" s="187"/>
      <c r="I172" s="187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</row>
    <row r="173" spans="1:24" s="116" customFormat="1" ht="15">
      <c r="A173" s="108"/>
      <c r="B173" s="170"/>
      <c r="C173" s="170"/>
      <c r="D173" s="187"/>
      <c r="E173" s="187"/>
      <c r="F173" s="187"/>
      <c r="G173" s="187"/>
      <c r="H173" s="187"/>
      <c r="I173" s="187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</row>
    <row r="174" spans="1:24" s="116" customFormat="1" ht="15">
      <c r="A174" s="145"/>
      <c r="B174" s="170"/>
      <c r="C174" s="170"/>
      <c r="D174" s="187"/>
      <c r="E174" s="187"/>
      <c r="F174" s="187"/>
      <c r="G174" s="187"/>
      <c r="H174" s="187"/>
      <c r="I174" s="187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</row>
    <row r="175" spans="1:24" s="116" customFormat="1" ht="15">
      <c r="A175" s="108"/>
      <c r="B175" s="170"/>
      <c r="C175" s="170"/>
      <c r="D175" s="187"/>
      <c r="E175" s="187"/>
      <c r="F175" s="187"/>
      <c r="G175" s="187"/>
      <c r="H175" s="187"/>
      <c r="I175" s="187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spans="1:24" s="116" customFormat="1" ht="15">
      <c r="A176" s="108"/>
      <c r="B176" s="170"/>
      <c r="C176" s="170"/>
      <c r="D176" s="187"/>
      <c r="E176" s="187"/>
      <c r="F176" s="187"/>
      <c r="G176" s="187"/>
      <c r="H176" s="187"/>
      <c r="I176" s="187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</row>
    <row r="177" spans="1:24" s="116" customFormat="1" ht="15">
      <c r="A177" s="108"/>
      <c r="B177" s="170"/>
      <c r="C177" s="170"/>
      <c r="D177" s="187"/>
      <c r="E177" s="187"/>
      <c r="F177" s="187"/>
      <c r="G177" s="187"/>
      <c r="H177" s="187"/>
      <c r="I177" s="187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</row>
    <row r="178" spans="1:24" s="116" customFormat="1" ht="15">
      <c r="A178" s="108"/>
      <c r="B178" s="170"/>
      <c r="C178" s="170"/>
      <c r="D178" s="187"/>
      <c r="E178" s="187"/>
      <c r="F178" s="187"/>
      <c r="G178" s="187"/>
      <c r="H178" s="187"/>
      <c r="I178" s="187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</row>
    <row r="179" spans="1:24" s="116" customFormat="1" ht="15">
      <c r="A179" s="145"/>
      <c r="B179" s="170"/>
      <c r="C179" s="170"/>
      <c r="D179" s="187"/>
      <c r="E179" s="187"/>
      <c r="F179" s="187"/>
      <c r="G179" s="187"/>
      <c r="H179" s="187"/>
      <c r="I179" s="187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</row>
    <row r="180" spans="1:24" s="116" customFormat="1" ht="15">
      <c r="A180" s="108"/>
      <c r="B180" s="170"/>
      <c r="C180" s="170"/>
      <c r="D180" s="187"/>
      <c r="E180" s="187"/>
      <c r="F180" s="187"/>
      <c r="G180" s="187"/>
      <c r="H180" s="187"/>
      <c r="I180" s="187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</row>
    <row r="181" spans="1:24" s="116" customFormat="1" ht="15">
      <c r="A181" s="108"/>
      <c r="B181" s="170"/>
      <c r="C181" s="170"/>
      <c r="D181" s="187"/>
      <c r="E181" s="187"/>
      <c r="F181" s="187"/>
      <c r="G181" s="187"/>
      <c r="H181" s="187"/>
      <c r="I181" s="187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</row>
    <row r="182" spans="1:24" s="116" customFormat="1" ht="15">
      <c r="A182" s="108"/>
      <c r="B182" s="170"/>
      <c r="C182" s="170"/>
      <c r="D182" s="187"/>
      <c r="E182" s="187"/>
      <c r="F182" s="187"/>
      <c r="G182" s="187"/>
      <c r="H182" s="187"/>
      <c r="I182" s="187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</row>
    <row r="183" spans="1:24" s="116" customFormat="1" ht="28.5">
      <c r="A183" s="74" t="s">
        <v>197</v>
      </c>
      <c r="B183" s="170"/>
      <c r="C183" s="170"/>
      <c r="D183" s="187"/>
      <c r="E183" s="187"/>
      <c r="F183" s="187"/>
      <c r="G183" s="187"/>
      <c r="H183" s="187"/>
      <c r="I183" s="187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</row>
    <row r="184" spans="1:24" s="122" customFormat="1" ht="15">
      <c r="A184" s="166" t="s">
        <v>186</v>
      </c>
      <c r="B184" s="166"/>
      <c r="C184" s="166"/>
      <c r="D184" s="166"/>
      <c r="E184" s="166"/>
      <c r="F184" s="166"/>
      <c r="G184" s="166"/>
      <c r="H184" s="166"/>
      <c r="I184" s="166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</row>
    <row r="185" spans="1:24" s="116" customFormat="1" ht="28.5">
      <c r="A185" s="43" t="s">
        <v>185</v>
      </c>
      <c r="B185" s="164" t="s">
        <v>111</v>
      </c>
      <c r="C185" s="164"/>
      <c r="D185" s="211"/>
      <c r="E185" s="211"/>
      <c r="F185" s="211"/>
      <c r="G185" s="211"/>
      <c r="H185" s="211"/>
      <c r="I185" s="211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</row>
    <row r="186" spans="1:24" s="116" customFormat="1" ht="15">
      <c r="A186" s="147"/>
      <c r="B186" s="212"/>
      <c r="C186" s="213"/>
      <c r="D186" s="211"/>
      <c r="E186" s="211"/>
      <c r="F186" s="211"/>
      <c r="G186" s="211"/>
      <c r="H186" s="211"/>
      <c r="I186" s="211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</row>
    <row r="187" spans="1:24" s="116" customFormat="1" ht="15">
      <c r="A187" s="108"/>
      <c r="B187" s="182"/>
      <c r="C187" s="182"/>
      <c r="D187" s="211"/>
      <c r="E187" s="211"/>
      <c r="F187" s="211"/>
      <c r="G187" s="211"/>
      <c r="H187" s="211"/>
      <c r="I187" s="211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</row>
    <row r="188" spans="1:24" s="116" customFormat="1" ht="15">
      <c r="A188" s="108"/>
      <c r="B188" s="182"/>
      <c r="C188" s="182"/>
      <c r="D188" s="211"/>
      <c r="E188" s="211"/>
      <c r="F188" s="211"/>
      <c r="G188" s="211"/>
      <c r="H188" s="211"/>
      <c r="I188" s="211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</row>
    <row r="189" spans="1:24" s="116" customFormat="1" ht="15">
      <c r="A189" s="108"/>
      <c r="B189" s="182"/>
      <c r="C189" s="182"/>
      <c r="D189" s="211"/>
      <c r="E189" s="211"/>
      <c r="F189" s="211"/>
      <c r="G189" s="211"/>
      <c r="H189" s="211"/>
      <c r="I189" s="211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</row>
    <row r="190" spans="1:24" s="116" customFormat="1" ht="15">
      <c r="A190" s="108"/>
      <c r="B190" s="182"/>
      <c r="C190" s="182"/>
      <c r="D190" s="211"/>
      <c r="E190" s="211"/>
      <c r="F190" s="211"/>
      <c r="G190" s="211"/>
      <c r="H190" s="211"/>
      <c r="I190" s="211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</row>
    <row r="191" spans="1:24" s="116" customFormat="1" ht="15">
      <c r="A191" s="108"/>
      <c r="B191" s="182"/>
      <c r="C191" s="182"/>
      <c r="D191" s="211"/>
      <c r="E191" s="211"/>
      <c r="F191" s="211"/>
      <c r="G191" s="211"/>
      <c r="H191" s="211"/>
      <c r="I191" s="211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</row>
    <row r="192" spans="1:24" s="116" customFormat="1" ht="15">
      <c r="A192" s="108"/>
      <c r="B192" s="182"/>
      <c r="C192" s="182"/>
      <c r="D192" s="211"/>
      <c r="E192" s="211"/>
      <c r="F192" s="211"/>
      <c r="G192" s="211"/>
      <c r="H192" s="211"/>
      <c r="I192" s="211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spans="1:24" s="116" customFormat="1" ht="15">
      <c r="A193" s="108"/>
      <c r="B193" s="167"/>
      <c r="C193" s="167"/>
      <c r="D193" s="211"/>
      <c r="E193" s="211"/>
      <c r="F193" s="211"/>
      <c r="G193" s="211"/>
      <c r="H193" s="211"/>
      <c r="I193" s="211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</row>
    <row r="194" spans="1:24" s="116" customFormat="1" ht="15">
      <c r="A194" s="108"/>
      <c r="B194" s="182"/>
      <c r="C194" s="182"/>
      <c r="D194" s="211"/>
      <c r="E194" s="211"/>
      <c r="F194" s="211"/>
      <c r="G194" s="211"/>
      <c r="H194" s="211"/>
      <c r="I194" s="211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spans="1:24" s="116" customFormat="1" ht="15">
      <c r="A195" s="108"/>
      <c r="B195" s="182"/>
      <c r="C195" s="182"/>
      <c r="D195" s="211"/>
      <c r="E195" s="211"/>
      <c r="F195" s="211"/>
      <c r="G195" s="211"/>
      <c r="H195" s="211"/>
      <c r="I195" s="211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spans="1:24" s="116" customFormat="1" ht="15">
      <c r="A196" s="108"/>
      <c r="B196" s="165"/>
      <c r="C196" s="165"/>
      <c r="D196" s="211"/>
      <c r="E196" s="211"/>
      <c r="F196" s="211"/>
      <c r="G196" s="211"/>
      <c r="H196" s="211"/>
      <c r="I196" s="211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</row>
    <row r="197" spans="1:24" s="116" customFormat="1" ht="15">
      <c r="A197" s="108"/>
      <c r="B197" s="165"/>
      <c r="C197" s="165"/>
      <c r="D197" s="211"/>
      <c r="E197" s="211"/>
      <c r="F197" s="211"/>
      <c r="G197" s="211"/>
      <c r="H197" s="211"/>
      <c r="I197" s="211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</row>
    <row r="198" spans="1:24" s="116" customFormat="1" ht="15">
      <c r="A198" s="108"/>
      <c r="B198" s="165"/>
      <c r="C198" s="165"/>
      <c r="D198" s="211"/>
      <c r="E198" s="211"/>
      <c r="F198" s="211"/>
      <c r="G198" s="211"/>
      <c r="H198" s="211"/>
      <c r="I198" s="211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</row>
    <row r="199" spans="1:24" s="116" customFormat="1" ht="15">
      <c r="A199" s="108"/>
      <c r="B199" s="165"/>
      <c r="C199" s="165"/>
      <c r="D199" s="211"/>
      <c r="E199" s="211"/>
      <c r="F199" s="211"/>
      <c r="G199" s="211"/>
      <c r="H199" s="211"/>
      <c r="I199" s="211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</row>
    <row r="200" spans="1:24" s="116" customFormat="1" ht="15">
      <c r="A200" s="108"/>
      <c r="B200" s="165"/>
      <c r="C200" s="165"/>
      <c r="D200" s="211"/>
      <c r="E200" s="211"/>
      <c r="F200" s="211"/>
      <c r="G200" s="211"/>
      <c r="H200" s="211"/>
      <c r="I200" s="211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</row>
    <row r="201" spans="1:24" s="116" customFormat="1" ht="15">
      <c r="A201" s="108"/>
      <c r="B201" s="165"/>
      <c r="C201" s="165"/>
      <c r="D201" s="211"/>
      <c r="E201" s="211"/>
      <c r="F201" s="211"/>
      <c r="G201" s="211"/>
      <c r="H201" s="211"/>
      <c r="I201" s="211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</row>
    <row r="202" spans="1:24" s="116" customFormat="1" ht="15">
      <c r="A202" s="108"/>
      <c r="B202" s="165"/>
      <c r="C202" s="165"/>
      <c r="D202" s="211"/>
      <c r="E202" s="211"/>
      <c r="F202" s="211"/>
      <c r="G202" s="211"/>
      <c r="H202" s="211"/>
      <c r="I202" s="211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</row>
    <row r="203" spans="1:24" s="116" customFormat="1" ht="15">
      <c r="A203" s="108"/>
      <c r="B203" s="165"/>
      <c r="C203" s="165"/>
      <c r="D203" s="211"/>
      <c r="E203" s="211"/>
      <c r="F203" s="211"/>
      <c r="G203" s="211"/>
      <c r="H203" s="211"/>
      <c r="I203" s="211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</row>
    <row r="204" spans="1:24" s="116" customFormat="1" ht="15">
      <c r="A204" s="108"/>
      <c r="B204" s="165"/>
      <c r="C204" s="165"/>
      <c r="D204" s="211"/>
      <c r="E204" s="211"/>
      <c r="F204" s="211"/>
      <c r="G204" s="211"/>
      <c r="H204" s="211"/>
      <c r="I204" s="211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</row>
    <row r="205" spans="1:24" s="116" customFormat="1" ht="15">
      <c r="A205" s="108"/>
      <c r="B205" s="165"/>
      <c r="C205" s="165"/>
      <c r="D205" s="211"/>
      <c r="E205" s="211"/>
      <c r="F205" s="211"/>
      <c r="G205" s="211"/>
      <c r="H205" s="211"/>
      <c r="I205" s="211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</row>
    <row r="206" spans="1:24" s="116" customFormat="1" ht="15">
      <c r="A206" s="181" t="s">
        <v>152</v>
      </c>
      <c r="B206" s="181"/>
      <c r="C206" s="111"/>
      <c r="D206" s="211"/>
      <c r="E206" s="211"/>
      <c r="F206" s="211"/>
      <c r="G206" s="211"/>
      <c r="H206" s="211"/>
      <c r="I206" s="211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</row>
    <row r="207" spans="1:24" s="122" customFormat="1" ht="15">
      <c r="A207" s="166" t="s">
        <v>146</v>
      </c>
      <c r="B207" s="166"/>
      <c r="C207" s="166"/>
      <c r="D207" s="166"/>
      <c r="E207" s="166"/>
      <c r="F207" s="166"/>
      <c r="G207" s="166"/>
      <c r="H207" s="166"/>
      <c r="I207" s="166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</row>
    <row r="208" spans="1:24" s="116" customFormat="1" ht="15">
      <c r="A208" s="43" t="s">
        <v>129</v>
      </c>
      <c r="B208" s="151" t="s">
        <v>113</v>
      </c>
      <c r="C208" s="151"/>
      <c r="D208" s="187"/>
      <c r="E208" s="187"/>
      <c r="F208" s="187"/>
      <c r="G208" s="187"/>
      <c r="H208" s="187"/>
      <c r="I208" s="187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</row>
    <row r="209" spans="1:24" s="116" customFormat="1" ht="15">
      <c r="A209" s="108"/>
      <c r="B209" s="170"/>
      <c r="C209" s="170"/>
      <c r="D209" s="187"/>
      <c r="E209" s="187"/>
      <c r="F209" s="187"/>
      <c r="G209" s="187"/>
      <c r="H209" s="187"/>
      <c r="I209" s="187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</row>
    <row r="210" spans="1:24" s="116" customFormat="1" ht="15">
      <c r="A210" s="108"/>
      <c r="B210" s="170"/>
      <c r="C210" s="170"/>
      <c r="D210" s="187"/>
      <c r="E210" s="187"/>
      <c r="F210" s="187"/>
      <c r="G210" s="187"/>
      <c r="H210" s="187"/>
      <c r="I210" s="187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</row>
    <row r="211" spans="1:24" s="116" customFormat="1" ht="15">
      <c r="A211" s="108"/>
      <c r="B211" s="170"/>
      <c r="C211" s="170"/>
      <c r="D211" s="187"/>
      <c r="E211" s="187"/>
      <c r="F211" s="187"/>
      <c r="G211" s="187"/>
      <c r="H211" s="187"/>
      <c r="I211" s="187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</row>
    <row r="212" spans="1:24" s="116" customFormat="1" ht="15">
      <c r="A212" s="108"/>
      <c r="B212" s="170"/>
      <c r="C212" s="170"/>
      <c r="D212" s="187"/>
      <c r="E212" s="187"/>
      <c r="F212" s="187"/>
      <c r="G212" s="187"/>
      <c r="H212" s="187"/>
      <c r="I212" s="187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</row>
    <row r="213" spans="1:24" s="116" customFormat="1" ht="15">
      <c r="A213" s="108"/>
      <c r="B213" s="170"/>
      <c r="C213" s="170"/>
      <c r="D213" s="187"/>
      <c r="E213" s="187"/>
      <c r="F213" s="187"/>
      <c r="G213" s="187"/>
      <c r="H213" s="187"/>
      <c r="I213" s="187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</row>
    <row r="214" spans="1:24" s="116" customFormat="1" ht="15">
      <c r="A214" s="108"/>
      <c r="B214" s="170"/>
      <c r="C214" s="170"/>
      <c r="D214" s="187"/>
      <c r="E214" s="187"/>
      <c r="F214" s="187"/>
      <c r="G214" s="187"/>
      <c r="H214" s="187"/>
      <c r="I214" s="187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</row>
    <row r="215" spans="1:24" s="116" customFormat="1" ht="15">
      <c r="A215" s="108"/>
      <c r="B215" s="170"/>
      <c r="C215" s="170"/>
      <c r="D215" s="187"/>
      <c r="E215" s="187"/>
      <c r="F215" s="187"/>
      <c r="G215" s="187"/>
      <c r="H215" s="187"/>
      <c r="I215" s="187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</row>
    <row r="216" spans="1:24" s="116" customFormat="1" ht="15">
      <c r="A216" s="108"/>
      <c r="B216" s="170"/>
      <c r="C216" s="170"/>
      <c r="D216" s="187"/>
      <c r="E216" s="187"/>
      <c r="F216" s="187"/>
      <c r="G216" s="187"/>
      <c r="H216" s="187"/>
      <c r="I216" s="187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</row>
    <row r="217" spans="1:24" s="116" customFormat="1" ht="15">
      <c r="A217" s="108"/>
      <c r="B217" s="170"/>
      <c r="C217" s="170"/>
      <c r="D217" s="187"/>
      <c r="E217" s="187"/>
      <c r="F217" s="187"/>
      <c r="G217" s="187"/>
      <c r="H217" s="187"/>
      <c r="I217" s="187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</row>
    <row r="218" spans="1:24" s="116" customFormat="1" ht="15">
      <c r="A218" s="108"/>
      <c r="B218" s="188"/>
      <c r="C218" s="188"/>
      <c r="D218" s="187"/>
      <c r="E218" s="187"/>
      <c r="F218" s="187"/>
      <c r="G218" s="187"/>
      <c r="H218" s="187"/>
      <c r="I218" s="187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</row>
    <row r="219" spans="1:24" s="116" customFormat="1" ht="15">
      <c r="A219" s="108"/>
      <c r="B219" s="170"/>
      <c r="C219" s="170"/>
      <c r="D219" s="187"/>
      <c r="E219" s="187"/>
      <c r="F219" s="187"/>
      <c r="G219" s="187"/>
      <c r="H219" s="187"/>
      <c r="I219" s="187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</row>
    <row r="220" spans="1:24" s="116" customFormat="1" ht="15">
      <c r="A220" s="108"/>
      <c r="B220" s="170"/>
      <c r="C220" s="170"/>
      <c r="D220" s="187"/>
      <c r="E220" s="187"/>
      <c r="F220" s="187"/>
      <c r="G220" s="187"/>
      <c r="H220" s="187"/>
      <c r="I220" s="187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</row>
    <row r="221" spans="1:24" s="116" customFormat="1" ht="15">
      <c r="A221" s="108"/>
      <c r="B221" s="170"/>
      <c r="C221" s="170"/>
      <c r="D221" s="187"/>
      <c r="E221" s="187"/>
      <c r="F221" s="187"/>
      <c r="G221" s="187"/>
      <c r="H221" s="187"/>
      <c r="I221" s="187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</row>
    <row r="222" spans="1:24" s="116" customFormat="1" ht="15">
      <c r="A222" s="108"/>
      <c r="B222" s="170"/>
      <c r="C222" s="170"/>
      <c r="D222" s="187"/>
      <c r="E222" s="187"/>
      <c r="F222" s="187"/>
      <c r="G222" s="187"/>
      <c r="H222" s="187"/>
      <c r="I222" s="187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</row>
    <row r="223" spans="1:24" s="116" customFormat="1" ht="15">
      <c r="A223" s="108"/>
      <c r="B223" s="170"/>
      <c r="C223" s="170"/>
      <c r="D223" s="187"/>
      <c r="E223" s="187"/>
      <c r="F223" s="187"/>
      <c r="G223" s="187"/>
      <c r="H223" s="187"/>
      <c r="I223" s="187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</row>
    <row r="224" spans="1:24" s="116" customFormat="1" ht="15">
      <c r="A224" s="108"/>
      <c r="B224" s="170"/>
      <c r="C224" s="170"/>
      <c r="D224" s="187"/>
      <c r="E224" s="187"/>
      <c r="F224" s="187"/>
      <c r="G224" s="187"/>
      <c r="H224" s="187"/>
      <c r="I224" s="187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</row>
    <row r="225" spans="1:24" s="116" customFormat="1" ht="15">
      <c r="A225" s="108"/>
      <c r="B225" s="170"/>
      <c r="C225" s="170"/>
      <c r="D225" s="187"/>
      <c r="E225" s="187"/>
      <c r="F225" s="187"/>
      <c r="G225" s="187"/>
      <c r="H225" s="187"/>
      <c r="I225" s="187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</row>
    <row r="226" spans="1:24" s="116" customFormat="1" ht="15">
      <c r="A226" s="108"/>
      <c r="B226" s="170"/>
      <c r="C226" s="170"/>
      <c r="D226" s="187"/>
      <c r="E226" s="187"/>
      <c r="F226" s="187"/>
      <c r="G226" s="187"/>
      <c r="H226" s="187"/>
      <c r="I226" s="187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</row>
    <row r="227" spans="1:24" s="116" customFormat="1" ht="15">
      <c r="A227" s="108"/>
      <c r="B227" s="170"/>
      <c r="C227" s="170"/>
      <c r="D227" s="187"/>
      <c r="E227" s="187"/>
      <c r="F227" s="187"/>
      <c r="G227" s="187"/>
      <c r="H227" s="187"/>
      <c r="I227" s="187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</row>
    <row r="228" spans="1:24" s="116" customFormat="1" ht="15">
      <c r="A228" s="108"/>
      <c r="B228" s="188"/>
      <c r="C228" s="188"/>
      <c r="D228" s="187"/>
      <c r="E228" s="187"/>
      <c r="F228" s="187"/>
      <c r="G228" s="187"/>
      <c r="H228" s="187"/>
      <c r="I228" s="187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</row>
    <row r="229" spans="1:24" s="116" customFormat="1" ht="15">
      <c r="A229" s="181" t="s">
        <v>153</v>
      </c>
      <c r="B229" s="181"/>
      <c r="C229" s="111"/>
      <c r="D229" s="187"/>
      <c r="E229" s="187"/>
      <c r="F229" s="187"/>
      <c r="G229" s="187"/>
      <c r="H229" s="187"/>
      <c r="I229" s="187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</row>
    <row r="230" spans="1:24" s="116" customFormat="1" ht="15">
      <c r="A230" s="179" t="s">
        <v>200</v>
      </c>
      <c r="B230" s="179"/>
      <c r="C230" s="179"/>
      <c r="D230" s="179"/>
      <c r="E230" s="179"/>
      <c r="F230" s="179"/>
      <c r="G230" s="179"/>
      <c r="H230" s="179"/>
      <c r="I230" s="179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</row>
    <row r="231" spans="1:24" s="116" customFormat="1" ht="15">
      <c r="A231" s="169" t="s">
        <v>54</v>
      </c>
      <c r="B231" s="169"/>
      <c r="C231" s="186" t="str">
        <f>IF(YearReq1,"1","")&amp;""&amp;IF(YearReq2,"2","")</f>
        <v>1</v>
      </c>
      <c r="D231" s="186"/>
      <c r="E231" s="186"/>
      <c r="F231" s="186"/>
      <c r="G231" s="186"/>
      <c r="H231" s="186"/>
      <c r="I231" s="186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</row>
    <row r="232" spans="1:24" s="116" customFormat="1" ht="69.75" customHeight="1">
      <c r="A232" s="176" t="s">
        <v>55</v>
      </c>
      <c r="B232" s="176"/>
      <c r="C232" s="183" t="str">
        <f>IF(YearReq1,"N/A","")&amp;""&amp;IF(YearReq2,FutureFundsIdent,"")</f>
        <v>N/A</v>
      </c>
      <c r="D232" s="184"/>
      <c r="E232" s="184"/>
      <c r="F232" s="184"/>
      <c r="G232" s="184"/>
      <c r="H232" s="184"/>
      <c r="I232" s="18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</row>
    <row r="233" spans="1:24" s="116" customFormat="1" ht="30" customHeight="1">
      <c r="A233" s="176" t="s">
        <v>57</v>
      </c>
      <c r="B233" s="176"/>
      <c r="C233" s="172" t="str">
        <f>IF(ReduceDepNo,"No","")&amp;""&amp;IF(ReduceDepYes,"Yes","")</f>
        <v>No</v>
      </c>
      <c r="D233" s="172"/>
      <c r="E233" s="172"/>
      <c r="F233" s="172"/>
      <c r="G233" s="172"/>
      <c r="H233" s="172"/>
      <c r="I233" s="172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</row>
    <row r="234" spans="1:24" s="116" customFormat="1" ht="75" customHeight="1">
      <c r="A234" s="176" t="s">
        <v>58</v>
      </c>
      <c r="B234" s="176"/>
      <c r="C234" s="183" t="str">
        <f>IF(ReduceDepNo,"N/A","")&amp;""&amp;IF(ReduceDepYes,RedDepExp,"")</f>
        <v>N/A</v>
      </c>
      <c r="D234" s="184"/>
      <c r="E234" s="184"/>
      <c r="F234" s="184"/>
      <c r="G234" s="184"/>
      <c r="H234" s="184"/>
      <c r="I234" s="18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</row>
    <row r="235" spans="1:24" s="120" customFormat="1" ht="18.75">
      <c r="A235" s="173" t="s">
        <v>201</v>
      </c>
      <c r="B235" s="173"/>
      <c r="C235" s="173"/>
      <c r="D235" s="173"/>
      <c r="E235" s="173"/>
      <c r="F235" s="173"/>
      <c r="G235" s="173"/>
      <c r="H235" s="173"/>
      <c r="I235" s="173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</row>
    <row r="236" spans="1:24" s="118" customFormat="1" ht="16.5" customHeight="1">
      <c r="A236" s="177" t="s">
        <v>202</v>
      </c>
      <c r="B236" s="177"/>
      <c r="C236" s="174">
        <f>IF(ratingoption1,"Rating Option 1",IF(ratingoption2,"Rating Option 2",""))</f>
      </c>
      <c r="D236" s="174"/>
      <c r="E236" s="174"/>
      <c r="F236" s="174"/>
      <c r="G236" s="174"/>
      <c r="H236" s="174"/>
      <c r="I236" s="174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</row>
    <row r="237" spans="1:24" s="116" customFormat="1" ht="15">
      <c r="A237" s="175" t="s">
        <v>206</v>
      </c>
      <c r="B237" s="175"/>
      <c r="C237" s="175"/>
      <c r="D237" s="175"/>
      <c r="E237" s="175"/>
      <c r="F237" s="175"/>
      <c r="G237" s="175"/>
      <c r="H237" s="175"/>
      <c r="I237" s="17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</row>
    <row r="238" spans="1:24" s="116" customFormat="1" ht="69.75" customHeight="1">
      <c r="A238" s="176" t="s">
        <v>67</v>
      </c>
      <c r="B238" s="176"/>
      <c r="C238" s="171">
        <f>IF(ratingoption1,opt1coordination,IF(ratingoption2,"N/A",""))</f>
      </c>
      <c r="D238" s="171"/>
      <c r="E238" s="171"/>
      <c r="F238" s="171"/>
      <c r="G238" s="171"/>
      <c r="H238" s="171"/>
      <c r="I238" s="171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</row>
    <row r="239" spans="1:24" s="116" customFormat="1" ht="69.75" customHeight="1">
      <c r="A239" s="176" t="s">
        <v>68</v>
      </c>
      <c r="B239" s="176"/>
      <c r="C239" s="171">
        <f>IF(ratingoption1,opt1promotion,IF(ratingoption2,"N/A",""))</f>
      </c>
      <c r="D239" s="171"/>
      <c r="E239" s="171"/>
      <c r="F239" s="171"/>
      <c r="G239" s="171"/>
      <c r="H239" s="171"/>
      <c r="I239" s="171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</row>
    <row r="240" spans="1:24" s="116" customFormat="1" ht="69.75" customHeight="1">
      <c r="A240" s="176" t="s">
        <v>69</v>
      </c>
      <c r="B240" s="176"/>
      <c r="C240" s="171">
        <f>IF(ratingoption1,opt1enhance,IF(ratingoption2,"N/A",""))</f>
      </c>
      <c r="D240" s="171"/>
      <c r="E240" s="171"/>
      <c r="F240" s="171"/>
      <c r="G240" s="171"/>
      <c r="H240" s="171"/>
      <c r="I240" s="171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</row>
    <row r="241" spans="1:24" s="116" customFormat="1" ht="15">
      <c r="A241" s="175" t="s">
        <v>207</v>
      </c>
      <c r="B241" s="175"/>
      <c r="C241" s="175"/>
      <c r="D241" s="175"/>
      <c r="E241" s="175"/>
      <c r="F241" s="175"/>
      <c r="G241" s="175"/>
      <c r="H241" s="175"/>
      <c r="I241" s="17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</row>
    <row r="242" spans="1:24" s="116" customFormat="1" ht="30" customHeight="1">
      <c r="A242" s="176" t="s">
        <v>70</v>
      </c>
      <c r="B242" s="176"/>
      <c r="C242" s="201">
        <f>IF(ratingoption2,opt2numberofent,IF(ratingoption1,"N/A",""))</f>
      </c>
      <c r="D242" s="202"/>
      <c r="E242" s="202"/>
      <c r="F242" s="202"/>
      <c r="G242" s="202"/>
      <c r="H242" s="202"/>
      <c r="I242" s="203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</row>
    <row r="243" spans="1:24" s="116" customFormat="1" ht="15">
      <c r="A243" s="176" t="s">
        <v>71</v>
      </c>
      <c r="B243" s="176"/>
      <c r="C243" s="201">
        <f>IF(ratingoption2,opt2agenciestopurchase,IF(ratingoption1,"N/A",""))</f>
      </c>
      <c r="D243" s="202"/>
      <c r="E243" s="202"/>
      <c r="F243" s="202"/>
      <c r="G243" s="202"/>
      <c r="H243" s="202"/>
      <c r="I243" s="203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</row>
    <row r="244" spans="1:24" s="116" customFormat="1" ht="15">
      <c r="A244" s="176" t="s">
        <v>72</v>
      </c>
      <c r="B244" s="176"/>
      <c r="C244" s="201">
        <f>IF(ratingoption2,opt2clientserved,IF(ratingoption1,"N/A",""))</f>
      </c>
      <c r="D244" s="202"/>
      <c r="E244" s="202"/>
      <c r="F244" s="202"/>
      <c r="G244" s="202"/>
      <c r="H244" s="202"/>
      <c r="I244" s="203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</row>
    <row r="245" spans="1:24" s="116" customFormat="1" ht="30" customHeight="1">
      <c r="A245" s="176" t="s">
        <v>73</v>
      </c>
      <c r="B245" s="176"/>
      <c r="C245" s="201">
        <f>IF(ratingoption2,opt2othertransit,IF(ratingoption1,"N/A",""))</f>
      </c>
      <c r="D245" s="202"/>
      <c r="E245" s="202"/>
      <c r="F245" s="202"/>
      <c r="G245" s="202"/>
      <c r="H245" s="202"/>
      <c r="I245" s="203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</row>
    <row r="246" spans="1:24" s="116" customFormat="1" ht="18.75">
      <c r="A246" s="173" t="s">
        <v>203</v>
      </c>
      <c r="B246" s="173"/>
      <c r="C246" s="173"/>
      <c r="D246" s="173"/>
      <c r="E246" s="173"/>
      <c r="F246" s="173"/>
      <c r="G246" s="173"/>
      <c r="H246" s="173"/>
      <c r="I246" s="173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</row>
    <row r="247" spans="1:24" s="116" customFormat="1" ht="16.5" customHeight="1">
      <c r="A247" s="176" t="s">
        <v>210</v>
      </c>
      <c r="B247" s="176"/>
      <c r="C247" s="172">
        <f>IF(New,HiddenSum!A305,IF(EPwo,HiddenSum!A306,IF(EPwith,HiddenSum!A307,"")))</f>
      </c>
      <c r="D247" s="172"/>
      <c r="E247" s="172"/>
      <c r="F247" s="172"/>
      <c r="G247" s="172"/>
      <c r="H247" s="172"/>
      <c r="I247" s="172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</row>
    <row r="248" spans="1:24" s="116" customFormat="1" ht="15">
      <c r="A248" s="175" t="s">
        <v>211</v>
      </c>
      <c r="B248" s="175"/>
      <c r="C248" s="175"/>
      <c r="D248" s="175"/>
      <c r="E248" s="175"/>
      <c r="F248" s="175"/>
      <c r="G248" s="175"/>
      <c r="H248" s="175"/>
      <c r="I248" s="17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</row>
    <row r="249" spans="1:24" s="116" customFormat="1" ht="99.75" customHeight="1">
      <c r="A249" s="176" t="s">
        <v>216</v>
      </c>
      <c r="B249" s="176"/>
      <c r="C249" s="171">
        <f>IF(ProposedProjStatus=HiddenSum!A305,NewGoals,IF(ProposedProjStatus=HiddenSum!A306,"N/A",IF(ProposedProjStatus=HiddenSum!A307,"N/A","")))</f>
      </c>
      <c r="D249" s="171"/>
      <c r="E249" s="171"/>
      <c r="F249" s="171"/>
      <c r="G249" s="171"/>
      <c r="H249" s="171"/>
      <c r="I249" s="171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</row>
    <row r="250" spans="1:24" s="116" customFormat="1" ht="15" customHeight="1">
      <c r="A250" s="179" t="s">
        <v>212</v>
      </c>
      <c r="B250" s="179"/>
      <c r="C250" s="179"/>
      <c r="D250" s="179"/>
      <c r="E250" s="179"/>
      <c r="F250" s="179"/>
      <c r="G250" s="179"/>
      <c r="H250" s="179"/>
      <c r="I250" s="179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</row>
    <row r="251" spans="1:24" s="116" customFormat="1" ht="99.75" customHeight="1">
      <c r="A251" s="169" t="s">
        <v>216</v>
      </c>
      <c r="B251" s="169"/>
      <c r="C251" s="171">
        <f>IF(ProposedProjStatus="New Project","N/A",IF(ProposedProjStatus="Existing without Previous Performance Plan",ExiswoGoals,IF(ProposedProjStatus="Existing with Previous Performance Plan","N/A","")))</f>
      </c>
      <c r="D251" s="171"/>
      <c r="E251" s="171"/>
      <c r="F251" s="171"/>
      <c r="G251" s="171"/>
      <c r="H251" s="171"/>
      <c r="I251" s="171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</row>
    <row r="252" spans="1:24" s="116" customFormat="1" ht="99.75" customHeight="1">
      <c r="A252" s="169" t="s">
        <v>217</v>
      </c>
      <c r="B252" s="169"/>
      <c r="C252" s="171">
        <f>IF(ProposedProjStatus="New Project","N/A",IF(ProposedProjStatus="Existing without Previous Performance Plan",Exiswoeffec,IF(ProposedProjStatus="Existing with Previous Performance Plan","N/A","")))</f>
      </c>
      <c r="D252" s="171"/>
      <c r="E252" s="171"/>
      <c r="F252" s="171"/>
      <c r="G252" s="171"/>
      <c r="H252" s="171"/>
      <c r="I252" s="171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</row>
    <row r="253" spans="1:24" s="116" customFormat="1" ht="99.75" customHeight="1">
      <c r="A253" s="169" t="s">
        <v>218</v>
      </c>
      <c r="B253" s="169"/>
      <c r="C253" s="180">
        <f>IF(ProposedProjStatus=HiddenSum!A305,"N/A",IF(ProposedProjStatus=HiddenSum!A306,Exiswocosteff,IF(ProposedProjStatus=HiddenSum!A307,"N/A","")))</f>
      </c>
      <c r="D253" s="180"/>
      <c r="E253" s="180"/>
      <c r="F253" s="180"/>
      <c r="G253" s="180"/>
      <c r="H253" s="180"/>
      <c r="I253" s="180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</row>
    <row r="254" spans="1:24" s="116" customFormat="1" ht="99.75" customHeight="1">
      <c r="A254" s="176" t="s">
        <v>219</v>
      </c>
      <c r="B254" s="176"/>
      <c r="C254" s="180">
        <f>IF(ProposedProjStatus=HiddenSum!A305,"N/A",IF(ProposedProjStatus=HiddenSum!A306,Exiswocosteffectiveness,IF(ProposedProjStatus=HiddenSum!A307,"N/A","")))</f>
      </c>
      <c r="D254" s="180"/>
      <c r="E254" s="180"/>
      <c r="F254" s="180"/>
      <c r="G254" s="180"/>
      <c r="H254" s="180"/>
      <c r="I254" s="180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</row>
    <row r="255" spans="1:24" s="116" customFormat="1" ht="15" customHeight="1">
      <c r="A255" s="175" t="s">
        <v>213</v>
      </c>
      <c r="B255" s="175"/>
      <c r="C255" s="175"/>
      <c r="D255" s="175"/>
      <c r="E255" s="175"/>
      <c r="F255" s="175"/>
      <c r="G255" s="175"/>
      <c r="H255" s="175"/>
      <c r="I255" s="17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</row>
    <row r="256" spans="1:24" s="116" customFormat="1" ht="15">
      <c r="A256" s="176" t="s">
        <v>216</v>
      </c>
      <c r="B256" s="176"/>
      <c r="C256" s="208">
        <f>IF(ProposedProjStatus="New","N/A",IF(ProposedProjStatus="Existing without Previous Performance Plan","N/A",IF(ProposedProjStatus="Existing with Previous Performance Plan",EPwithgoals,"")))</f>
      </c>
      <c r="D256" s="209"/>
      <c r="E256" s="209"/>
      <c r="F256" s="209"/>
      <c r="G256" s="209"/>
      <c r="H256" s="209"/>
      <c r="I256" s="210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</row>
    <row r="257" spans="1:24" s="116" customFormat="1" ht="15" customHeight="1">
      <c r="A257" s="176" t="s">
        <v>81</v>
      </c>
      <c r="B257" s="176"/>
      <c r="C257" s="176"/>
      <c r="D257" s="176"/>
      <c r="E257" s="176"/>
      <c r="F257" s="176"/>
      <c r="G257" s="176"/>
      <c r="H257" s="176"/>
      <c r="I257" s="176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</row>
    <row r="258" spans="1:24" s="116" customFormat="1" ht="15">
      <c r="A258" s="206" t="s">
        <v>228</v>
      </c>
      <c r="B258" s="206"/>
      <c r="C258" s="206" t="s">
        <v>229</v>
      </c>
      <c r="D258" s="206"/>
      <c r="E258" s="206"/>
      <c r="F258" s="206"/>
      <c r="G258" s="207" t="s">
        <v>230</v>
      </c>
      <c r="H258" s="207"/>
      <c r="I258" s="207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</row>
    <row r="259" spans="1:24" s="116" customFormat="1" ht="30" customHeight="1">
      <c r="A259" s="178">
        <f>IF(ProposedProjStatus=HiddenSum!$A$305,"N/A",IF(ProposedProjStatus=HiddenSum!$A$306,"N/A",IF(ProposedProjStatus=HiddenSum!$A$307,Measure1,"")))</f>
      </c>
      <c r="B259" s="178"/>
      <c r="C259" s="178">
        <f>IF(ProposedProjStatus=HiddenSum!$A$305,"N/A",IF(ProposedProjStatus=HiddenSum!$A$306,"N/A",IF(ProposedProjStatus=HiddenSum!$A$307,Threshold1,"")))</f>
      </c>
      <c r="D259" s="178"/>
      <c r="E259" s="178"/>
      <c r="F259" s="178"/>
      <c r="G259" s="205">
        <f>IF(ProposedProjStatus=HiddenSum!$A$305,"N/A",IF(ProposedProjStatus=HiddenSum!$A$306,"N/A",IF(ProposedProjStatus=HiddenSum!$A$307,Achieved1,"")))</f>
      </c>
      <c r="H259" s="205"/>
      <c r="I259" s="20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</row>
    <row r="260" spans="1:24" s="116" customFormat="1" ht="30" customHeight="1">
      <c r="A260" s="178">
        <f>IF(ProposedProjStatus=HiddenSum!$A$305,"N/A",IF(ProposedProjStatus=HiddenSum!$A$306,"N/A",IF(ProposedProjStatus=HiddenSum!$A$307,Measure2,"")))</f>
      </c>
      <c r="B260" s="178"/>
      <c r="C260" s="178">
        <f>IF(ProposedProjStatus=HiddenSum!$A$305,"N/A",IF(ProposedProjStatus=HiddenSum!$A$306,"N/A",IF(ProposedProjStatus=HiddenSum!$A$307,Threshold2,"")))</f>
      </c>
      <c r="D260" s="178"/>
      <c r="E260" s="178"/>
      <c r="F260" s="178"/>
      <c r="G260" s="205">
        <f>IF(ProposedProjStatus=HiddenSum!$A$305,"N/A",IF(ProposedProjStatus=HiddenSum!$A$306,"N/A",IF(ProposedProjStatus=HiddenSum!$A$307,Achieved2,"")))</f>
      </c>
      <c r="H260" s="205"/>
      <c r="I260" s="20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</row>
    <row r="261" spans="1:24" s="116" customFormat="1" ht="30" customHeight="1">
      <c r="A261" s="178">
        <f>IF(ProposedProjStatus=HiddenSum!$A$305,"N/A",IF(ProposedProjStatus=HiddenSum!$A$306,"N/A",IF(ProposedProjStatus=HiddenSum!$A$307,Measure3,"")))</f>
      </c>
      <c r="B261" s="178"/>
      <c r="C261" s="178">
        <f>IF(ProposedProjStatus=HiddenSum!$A$305,"N/A",IF(ProposedProjStatus=HiddenSum!$A$306,"N/A",IF(ProposedProjStatus=HiddenSum!$A$307,Threshold3,"")))</f>
      </c>
      <c r="D261" s="178"/>
      <c r="E261" s="178"/>
      <c r="F261" s="178"/>
      <c r="G261" s="205">
        <f>IF(ProposedProjStatus=HiddenSum!$A$305,"N/A",IF(ProposedProjStatus=HiddenSum!$A$306,"N/A",IF(ProposedProjStatus=HiddenSum!$A$307,Achieved3,"")))</f>
      </c>
      <c r="H261" s="205"/>
      <c r="I261" s="20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</row>
    <row r="262" spans="1:25" s="110" customFormat="1" ht="30" customHeight="1">
      <c r="A262" s="176" t="s">
        <v>232</v>
      </c>
      <c r="B262" s="176"/>
      <c r="C262" s="176">
        <f>IF(ProposedProjStatus=HiddenSum!A305,"N/A",IF(ProposedProjStatus=HiddenSum!A306,"N/A",IF(ProposedProjStatus=HiddenSum!A307,correctionactionidentifiedfinal,"")))</f>
      </c>
      <c r="D262" s="176"/>
      <c r="E262" s="176"/>
      <c r="F262" s="176"/>
      <c r="G262" s="176"/>
      <c r="H262" s="176"/>
      <c r="I262" s="176"/>
      <c r="J262" s="124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27"/>
    </row>
    <row r="263" spans="1:25" s="110" customFormat="1" ht="150" customHeight="1">
      <c r="A263" s="176" t="s">
        <v>233</v>
      </c>
      <c r="B263" s="176"/>
      <c r="C263" s="176">
        <f>IF(C262="N/A","N/A",IF(correctiveyes,HiddenSum!B325,IF(correctiveno,"N/A","")))</f>
      </c>
      <c r="D263" s="176"/>
      <c r="E263" s="176"/>
      <c r="F263" s="176"/>
      <c r="G263" s="176"/>
      <c r="H263" s="176"/>
      <c r="I263" s="176"/>
      <c r="J263" s="124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27"/>
    </row>
    <row r="264" spans="1:256" s="131" customFormat="1" ht="150" customHeight="1">
      <c r="A264" s="176" t="s">
        <v>83</v>
      </c>
      <c r="B264" s="176"/>
      <c r="C264" s="180">
        <f>IF(C262="N/A","N/A",IF(correctiveyes,EPwithpastquarter,IF(correctiveno,"N/A","")))</f>
      </c>
      <c r="D264" s="180"/>
      <c r="E264" s="180"/>
      <c r="F264" s="180"/>
      <c r="G264" s="180"/>
      <c r="H264" s="180"/>
      <c r="I264" s="180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9"/>
      <c r="AR264" s="129"/>
      <c r="AS264" s="129"/>
      <c r="AT264" s="129"/>
      <c r="AU264" s="129"/>
      <c r="AV264" s="129"/>
      <c r="AW264" s="129"/>
      <c r="AX264" s="129"/>
      <c r="AY264" s="129"/>
      <c r="AZ264" s="129"/>
      <c r="BA264" s="129"/>
      <c r="BB264" s="129"/>
      <c r="BC264" s="129"/>
      <c r="BD264" s="129"/>
      <c r="BE264" s="129"/>
      <c r="BF264" s="129"/>
      <c r="BG264" s="129"/>
      <c r="BH264" s="129"/>
      <c r="BI264" s="129"/>
      <c r="BJ264" s="129"/>
      <c r="BK264" s="129"/>
      <c r="BL264" s="129"/>
      <c r="BM264" s="129"/>
      <c r="BN264" s="129"/>
      <c r="BO264" s="129"/>
      <c r="BP264" s="129"/>
      <c r="BQ264" s="129"/>
      <c r="BR264" s="129"/>
      <c r="BS264" s="129"/>
      <c r="BT264" s="129"/>
      <c r="BU264" s="129"/>
      <c r="BV264" s="129"/>
      <c r="BW264" s="129"/>
      <c r="BX264" s="129"/>
      <c r="BY264" s="129"/>
      <c r="BZ264" s="129"/>
      <c r="CA264" s="129"/>
      <c r="CB264" s="129"/>
      <c r="CC264" s="129"/>
      <c r="CD264" s="129"/>
      <c r="CE264" s="129"/>
      <c r="CF264" s="129"/>
      <c r="CG264" s="129"/>
      <c r="CH264" s="129"/>
      <c r="CI264" s="129"/>
      <c r="CJ264" s="129"/>
      <c r="CK264" s="129"/>
      <c r="CL264" s="129"/>
      <c r="CM264" s="129"/>
      <c r="CN264" s="129"/>
      <c r="CO264" s="129"/>
      <c r="CP264" s="129"/>
      <c r="CQ264" s="129"/>
      <c r="CR264" s="129"/>
      <c r="CS264" s="129"/>
      <c r="CT264" s="129"/>
      <c r="CU264" s="129"/>
      <c r="CV264" s="129"/>
      <c r="CW264" s="129"/>
      <c r="CX264" s="129"/>
      <c r="CY264" s="129"/>
      <c r="CZ264" s="129"/>
      <c r="DA264" s="129"/>
      <c r="DB264" s="129"/>
      <c r="DC264" s="129"/>
      <c r="DD264" s="129"/>
      <c r="DE264" s="129"/>
      <c r="DF264" s="129"/>
      <c r="DG264" s="129"/>
      <c r="DH264" s="129"/>
      <c r="DI264" s="129"/>
      <c r="DJ264" s="129"/>
      <c r="DK264" s="129"/>
      <c r="DL264" s="129"/>
      <c r="DM264" s="129"/>
      <c r="DN264" s="129"/>
      <c r="DO264" s="129"/>
      <c r="DP264" s="129"/>
      <c r="DQ264" s="129"/>
      <c r="DR264" s="129"/>
      <c r="DS264" s="129"/>
      <c r="DT264" s="129"/>
      <c r="DU264" s="129"/>
      <c r="DV264" s="129"/>
      <c r="DW264" s="129"/>
      <c r="DX264" s="129"/>
      <c r="DY264" s="129"/>
      <c r="DZ264" s="129"/>
      <c r="EA264" s="129"/>
      <c r="EB264" s="129"/>
      <c r="EC264" s="129"/>
      <c r="ED264" s="129"/>
      <c r="EE264" s="129"/>
      <c r="EF264" s="129"/>
      <c r="EG264" s="129"/>
      <c r="EH264" s="129"/>
      <c r="EI264" s="129"/>
      <c r="EJ264" s="129"/>
      <c r="EK264" s="129"/>
      <c r="EL264" s="129"/>
      <c r="EM264" s="129"/>
      <c r="EN264" s="129"/>
      <c r="EO264" s="129"/>
      <c r="EP264" s="129"/>
      <c r="EQ264" s="129"/>
      <c r="ER264" s="129"/>
      <c r="ES264" s="129"/>
      <c r="ET264" s="129"/>
      <c r="EU264" s="129"/>
      <c r="EV264" s="129"/>
      <c r="EW264" s="129"/>
      <c r="EX264" s="129"/>
      <c r="EY264" s="129"/>
      <c r="EZ264" s="129"/>
      <c r="FA264" s="129"/>
      <c r="FB264" s="129"/>
      <c r="FC264" s="129"/>
      <c r="FD264" s="129"/>
      <c r="FE264" s="129"/>
      <c r="FF264" s="129"/>
      <c r="FG264" s="129"/>
      <c r="FH264" s="129"/>
      <c r="FI264" s="129"/>
      <c r="FJ264" s="129"/>
      <c r="FK264" s="129"/>
      <c r="FL264" s="129"/>
      <c r="FM264" s="129"/>
      <c r="FN264" s="129"/>
      <c r="FO264" s="129"/>
      <c r="FP264" s="129"/>
      <c r="FQ264" s="129"/>
      <c r="FR264" s="129"/>
      <c r="FS264" s="129"/>
      <c r="FT264" s="129"/>
      <c r="FU264" s="129"/>
      <c r="FV264" s="129"/>
      <c r="FW264" s="129"/>
      <c r="FX264" s="129"/>
      <c r="FY264" s="129"/>
      <c r="FZ264" s="129"/>
      <c r="GA264" s="129"/>
      <c r="GB264" s="129"/>
      <c r="GC264" s="129"/>
      <c r="GD264" s="129"/>
      <c r="GE264" s="129"/>
      <c r="GF264" s="129"/>
      <c r="GG264" s="129"/>
      <c r="GH264" s="129"/>
      <c r="GI264" s="129"/>
      <c r="GJ264" s="129"/>
      <c r="GK264" s="129"/>
      <c r="GL264" s="129"/>
      <c r="GM264" s="129"/>
      <c r="GN264" s="129"/>
      <c r="GO264" s="129"/>
      <c r="GP264" s="129"/>
      <c r="GQ264" s="129"/>
      <c r="GR264" s="129"/>
      <c r="GS264" s="129"/>
      <c r="GT264" s="129"/>
      <c r="GU264" s="129"/>
      <c r="GV264" s="129"/>
      <c r="GW264" s="129"/>
      <c r="GX264" s="129"/>
      <c r="GY264" s="129"/>
      <c r="GZ264" s="129"/>
      <c r="HA264" s="129"/>
      <c r="HB264" s="129"/>
      <c r="HC264" s="129"/>
      <c r="HD264" s="129"/>
      <c r="HE264" s="129"/>
      <c r="HF264" s="129"/>
      <c r="HG264" s="129"/>
      <c r="HH264" s="129"/>
      <c r="HI264" s="129"/>
      <c r="HJ264" s="129"/>
      <c r="HK264" s="129"/>
      <c r="HL264" s="129"/>
      <c r="HM264" s="129"/>
      <c r="HN264" s="129"/>
      <c r="HO264" s="129"/>
      <c r="HP264" s="129"/>
      <c r="HQ264" s="129"/>
      <c r="HR264" s="129"/>
      <c r="HS264" s="129"/>
      <c r="HT264" s="129"/>
      <c r="HU264" s="129"/>
      <c r="HV264" s="129"/>
      <c r="HW264" s="129"/>
      <c r="HX264" s="129"/>
      <c r="HY264" s="129"/>
      <c r="HZ264" s="129"/>
      <c r="IA264" s="129"/>
      <c r="IB264" s="129"/>
      <c r="IC264" s="129"/>
      <c r="ID264" s="129"/>
      <c r="IE264" s="129"/>
      <c r="IF264" s="129"/>
      <c r="IG264" s="129"/>
      <c r="IH264" s="129"/>
      <c r="II264" s="129"/>
      <c r="IJ264" s="129"/>
      <c r="IK264" s="129"/>
      <c r="IL264" s="129"/>
      <c r="IM264" s="129"/>
      <c r="IN264" s="129"/>
      <c r="IO264" s="129"/>
      <c r="IP264" s="129"/>
      <c r="IQ264" s="129"/>
      <c r="IR264" s="129"/>
      <c r="IS264" s="129"/>
      <c r="IT264" s="129"/>
      <c r="IU264" s="129"/>
      <c r="IV264" s="130"/>
    </row>
    <row r="265" spans="1:25" s="110" customFormat="1" ht="45" customHeight="1">
      <c r="A265" s="176" t="s">
        <v>84</v>
      </c>
      <c r="B265" s="176"/>
      <c r="C265" s="208">
        <f>IF(ProposedProjStatus=HiddenSum!A305,"N/A",IF(ProposedProjStatus=HiddenSum!A306,"N/A",IF(ProposedProjStatus=HiddenSum!A307,causeidentified,"")))</f>
      </c>
      <c r="D265" s="209"/>
      <c r="E265" s="209"/>
      <c r="F265" s="209"/>
      <c r="G265" s="209"/>
      <c r="H265" s="209"/>
      <c r="I265" s="210"/>
      <c r="J265" s="128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27"/>
    </row>
    <row r="266" spans="1:25" s="110" customFormat="1" ht="150" customHeight="1">
      <c r="A266" s="176" t="s">
        <v>85</v>
      </c>
      <c r="B266" s="176"/>
      <c r="C266" s="208">
        <f>IF(C262="N/A","N/A",EPwithdescribecause)</f>
        <v>0</v>
      </c>
      <c r="D266" s="209"/>
      <c r="E266" s="209"/>
      <c r="F266" s="209"/>
      <c r="G266" s="209"/>
      <c r="H266" s="209"/>
      <c r="I266" s="210"/>
      <c r="J266" s="128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27"/>
    </row>
    <row r="267" spans="1:25" s="110" customFormat="1" ht="150" customHeight="1">
      <c r="A267" s="176" t="s">
        <v>86</v>
      </c>
      <c r="B267" s="176"/>
      <c r="C267" s="208" t="str">
        <f>IF(C262="N/A","N/A",IF(correctiveno,EPwithsubsequent,"N/A"))</f>
        <v>N/A</v>
      </c>
      <c r="D267" s="209"/>
      <c r="E267" s="209"/>
      <c r="F267" s="209"/>
      <c r="G267" s="209"/>
      <c r="H267" s="209"/>
      <c r="I267" s="210"/>
      <c r="J267" s="128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27"/>
    </row>
    <row r="268" spans="1:9" s="120" customFormat="1" ht="18.75">
      <c r="A268" s="173" t="s">
        <v>204</v>
      </c>
      <c r="B268" s="173"/>
      <c r="C268" s="173"/>
      <c r="D268" s="173"/>
      <c r="E268" s="173"/>
      <c r="F268" s="173"/>
      <c r="G268" s="173"/>
      <c r="H268" s="173"/>
      <c r="I268" s="173"/>
    </row>
    <row r="269" spans="1:9" s="118" customFormat="1" ht="64.5" customHeight="1">
      <c r="A269" s="177" t="s">
        <v>56</v>
      </c>
      <c r="B269" s="177"/>
      <c r="C269" s="204">
        <f>fundingcommitmentbeyond</f>
        <v>0</v>
      </c>
      <c r="D269" s="204"/>
      <c r="E269" s="204"/>
      <c r="F269" s="204"/>
      <c r="G269" s="204"/>
      <c r="H269" s="204"/>
      <c r="I269" s="204"/>
    </row>
    <row r="270" spans="1:9" s="118" customFormat="1" ht="30" customHeight="1">
      <c r="A270" s="177" t="s">
        <v>87</v>
      </c>
      <c r="B270" s="177"/>
      <c r="C270" s="204">
        <f>IF(inyes,"Yes",IF(inno,"No",""))</f>
      </c>
      <c r="D270" s="204"/>
      <c r="E270" s="204"/>
      <c r="F270" s="204"/>
      <c r="G270" s="204"/>
      <c r="H270" s="204"/>
      <c r="I270" s="204"/>
    </row>
    <row r="271" spans="1:9" s="118" customFormat="1" ht="120" customHeight="1">
      <c r="A271" s="177" t="s">
        <v>88</v>
      </c>
      <c r="B271" s="177"/>
      <c r="C271" s="204">
        <f>IF(inyes,explaininnovative,IF(inno,"N/A",""))</f>
      </c>
      <c r="D271" s="204"/>
      <c r="E271" s="204"/>
      <c r="F271" s="204"/>
      <c r="G271" s="204"/>
      <c r="H271" s="204"/>
      <c r="I271" s="204"/>
    </row>
    <row r="272" spans="1:9" s="118" customFormat="1" ht="44.25" customHeight="1">
      <c r="A272" s="177" t="s">
        <v>89</v>
      </c>
      <c r="B272" s="177"/>
      <c r="C272" s="204">
        <f>IF(projectalteredyes,"Yes",IF(projectalteredno,"No",""))</f>
      </c>
      <c r="D272" s="204"/>
      <c r="E272" s="204"/>
      <c r="F272" s="204"/>
      <c r="G272" s="204"/>
      <c r="H272" s="204"/>
      <c r="I272" s="204"/>
    </row>
    <row r="273" spans="1:9" s="118" customFormat="1" ht="150" customHeight="1">
      <c r="A273" s="177" t="s">
        <v>90</v>
      </c>
      <c r="B273" s="177"/>
      <c r="C273" s="204">
        <f>IF(projectalteredyes,descriptionmodifications,IF(projectalteredno,"N/A",""))</f>
      </c>
      <c r="D273" s="204"/>
      <c r="E273" s="204"/>
      <c r="F273" s="204"/>
      <c r="G273" s="204"/>
      <c r="H273" s="204"/>
      <c r="I273" s="204"/>
    </row>
    <row r="276" ht="15"/>
    <row r="277" ht="15"/>
  </sheetData>
  <sheetProtection password="CB94" sheet="1" objects="1" scenarios="1"/>
  <mergeCells count="404">
    <mergeCell ref="B226:C226"/>
    <mergeCell ref="B227:C227"/>
    <mergeCell ref="B228:C228"/>
    <mergeCell ref="B222:C222"/>
    <mergeCell ref="B223:C223"/>
    <mergeCell ref="B224:C224"/>
    <mergeCell ref="B225:C225"/>
    <mergeCell ref="B57:E57"/>
    <mergeCell ref="B219:C219"/>
    <mergeCell ref="B220:C220"/>
    <mergeCell ref="B221:C221"/>
    <mergeCell ref="A83:I83"/>
    <mergeCell ref="A68:I68"/>
    <mergeCell ref="G69:I82"/>
    <mergeCell ref="F57:I66"/>
    <mergeCell ref="A67:I67"/>
    <mergeCell ref="B60:E60"/>
    <mergeCell ref="C6:I6"/>
    <mergeCell ref="A5:I5"/>
    <mergeCell ref="A4:I4"/>
    <mergeCell ref="A1:I1"/>
    <mergeCell ref="A2:I3"/>
    <mergeCell ref="C10:I10"/>
    <mergeCell ref="C9:I9"/>
    <mergeCell ref="C8:I8"/>
    <mergeCell ref="C7:I7"/>
    <mergeCell ref="C14:I14"/>
    <mergeCell ref="C13:I13"/>
    <mergeCell ref="C12:I12"/>
    <mergeCell ref="C11:I11"/>
    <mergeCell ref="C25:I25"/>
    <mergeCell ref="C24:I24"/>
    <mergeCell ref="A27:I27"/>
    <mergeCell ref="A23:I23"/>
    <mergeCell ref="A24:B24"/>
    <mergeCell ref="A25:B25"/>
    <mergeCell ref="D34:I34"/>
    <mergeCell ref="D33:I33"/>
    <mergeCell ref="D35:H35"/>
    <mergeCell ref="D36:H36"/>
    <mergeCell ref="B40:I40"/>
    <mergeCell ref="B39:I39"/>
    <mergeCell ref="A38:I38"/>
    <mergeCell ref="A37:I37"/>
    <mergeCell ref="B44:I44"/>
    <mergeCell ref="B43:I43"/>
    <mergeCell ref="B42:I42"/>
    <mergeCell ref="B41:I41"/>
    <mergeCell ref="B48:I48"/>
    <mergeCell ref="B47:I47"/>
    <mergeCell ref="B46:I46"/>
    <mergeCell ref="B45:I45"/>
    <mergeCell ref="B52:I52"/>
    <mergeCell ref="B51:I51"/>
    <mergeCell ref="B50:I50"/>
    <mergeCell ref="B49:I49"/>
    <mergeCell ref="A55:I55"/>
    <mergeCell ref="A56:I56"/>
    <mergeCell ref="B54:I54"/>
    <mergeCell ref="B53:I53"/>
    <mergeCell ref="A58:E58"/>
    <mergeCell ref="D62:E62"/>
    <mergeCell ref="D61:E61"/>
    <mergeCell ref="C101:D101"/>
    <mergeCell ref="C96:D96"/>
    <mergeCell ref="C95:D95"/>
    <mergeCell ref="A95:B95"/>
    <mergeCell ref="C98:D98"/>
    <mergeCell ref="A97:B97"/>
    <mergeCell ref="A96:B96"/>
    <mergeCell ref="E107:I128"/>
    <mergeCell ref="A129:I129"/>
    <mergeCell ref="C102:D102"/>
    <mergeCell ref="A113:B113"/>
    <mergeCell ref="C109:D109"/>
    <mergeCell ref="C128:D128"/>
    <mergeCell ref="A112:B112"/>
    <mergeCell ref="A111:B111"/>
    <mergeCell ref="C114:D114"/>
    <mergeCell ref="A106:I106"/>
    <mergeCell ref="F157:I166"/>
    <mergeCell ref="A156:I156"/>
    <mergeCell ref="F147:I155"/>
    <mergeCell ref="B131:I131"/>
    <mergeCell ref="B132:I132"/>
    <mergeCell ref="D133:I144"/>
    <mergeCell ref="A145:I145"/>
    <mergeCell ref="A146:I146"/>
    <mergeCell ref="B144:C144"/>
    <mergeCell ref="B139:C139"/>
    <mergeCell ref="D171:I183"/>
    <mergeCell ref="E169:I169"/>
    <mergeCell ref="E168:I168"/>
    <mergeCell ref="E167:I167"/>
    <mergeCell ref="A168:D168"/>
    <mergeCell ref="A167:D167"/>
    <mergeCell ref="B171:C171"/>
    <mergeCell ref="B176:C176"/>
    <mergeCell ref="B174:C174"/>
    <mergeCell ref="A169:D169"/>
    <mergeCell ref="A207:I207"/>
    <mergeCell ref="D185:I206"/>
    <mergeCell ref="B208:C208"/>
    <mergeCell ref="B209:C209"/>
    <mergeCell ref="B204:C204"/>
    <mergeCell ref="B205:C205"/>
    <mergeCell ref="B198:C198"/>
    <mergeCell ref="B200:C200"/>
    <mergeCell ref="B201:C201"/>
    <mergeCell ref="B186:C186"/>
    <mergeCell ref="C262:I262"/>
    <mergeCell ref="C263:I263"/>
    <mergeCell ref="C264:I264"/>
    <mergeCell ref="C265:I265"/>
    <mergeCell ref="C266:I266"/>
    <mergeCell ref="C267:I267"/>
    <mergeCell ref="C256:I256"/>
    <mergeCell ref="A268:I268"/>
    <mergeCell ref="A266:B266"/>
    <mergeCell ref="A265:B265"/>
    <mergeCell ref="A264:B264"/>
    <mergeCell ref="A256:B256"/>
    <mergeCell ref="A263:B263"/>
    <mergeCell ref="A262:B262"/>
    <mergeCell ref="C273:I273"/>
    <mergeCell ref="C272:I272"/>
    <mergeCell ref="C271:I271"/>
    <mergeCell ref="C270:I270"/>
    <mergeCell ref="C269:I269"/>
    <mergeCell ref="A257:I257"/>
    <mergeCell ref="G260:I260"/>
    <mergeCell ref="G261:I261"/>
    <mergeCell ref="C258:F258"/>
    <mergeCell ref="G258:I258"/>
    <mergeCell ref="C259:F259"/>
    <mergeCell ref="A258:B258"/>
    <mergeCell ref="G259:I259"/>
    <mergeCell ref="A267:B267"/>
    <mergeCell ref="C245:I245"/>
    <mergeCell ref="A104:B104"/>
    <mergeCell ref="A103:B103"/>
    <mergeCell ref="B196:C196"/>
    <mergeCell ref="B197:C197"/>
    <mergeCell ref="C104:D104"/>
    <mergeCell ref="C103:D103"/>
    <mergeCell ref="B141:C141"/>
    <mergeCell ref="B140:C140"/>
    <mergeCell ref="B159:C159"/>
    <mergeCell ref="A245:B245"/>
    <mergeCell ref="A244:B244"/>
    <mergeCell ref="A243:B243"/>
    <mergeCell ref="A242:B242"/>
    <mergeCell ref="C244:I244"/>
    <mergeCell ref="C243:I243"/>
    <mergeCell ref="C242:I242"/>
    <mergeCell ref="A241:I241"/>
    <mergeCell ref="B152:C152"/>
    <mergeCell ref="B151:C151"/>
    <mergeCell ref="A240:B240"/>
    <mergeCell ref="B162:C162"/>
    <mergeCell ref="B161:C161"/>
    <mergeCell ref="B160:C160"/>
    <mergeCell ref="B166:C166"/>
    <mergeCell ref="B165:C165"/>
    <mergeCell ref="B164:C164"/>
    <mergeCell ref="B163:C163"/>
    <mergeCell ref="B158:C158"/>
    <mergeCell ref="B157:C157"/>
    <mergeCell ref="B148:C148"/>
    <mergeCell ref="D149:E149"/>
    <mergeCell ref="D148:E148"/>
    <mergeCell ref="D158:E158"/>
    <mergeCell ref="D157:E157"/>
    <mergeCell ref="B154:C154"/>
    <mergeCell ref="B153:C153"/>
    <mergeCell ref="B155:C155"/>
    <mergeCell ref="B149:C149"/>
    <mergeCell ref="B150:C150"/>
    <mergeCell ref="A110:B110"/>
    <mergeCell ref="A109:B109"/>
    <mergeCell ref="C117:D117"/>
    <mergeCell ref="C116:D116"/>
    <mergeCell ref="A117:B117"/>
    <mergeCell ref="A116:B116"/>
    <mergeCell ref="A115:B115"/>
    <mergeCell ref="A114:B114"/>
    <mergeCell ref="B143:C143"/>
    <mergeCell ref="B142:C142"/>
    <mergeCell ref="B130:I130"/>
    <mergeCell ref="C115:D115"/>
    <mergeCell ref="B138:C138"/>
    <mergeCell ref="B137:C137"/>
    <mergeCell ref="B136:C136"/>
    <mergeCell ref="B135:C135"/>
    <mergeCell ref="B134:C134"/>
    <mergeCell ref="B133:C133"/>
    <mergeCell ref="A107:B107"/>
    <mergeCell ref="C108:D108"/>
    <mergeCell ref="A94:B94"/>
    <mergeCell ref="A93:B93"/>
    <mergeCell ref="C107:D107"/>
    <mergeCell ref="C97:D97"/>
    <mergeCell ref="A100:B100"/>
    <mergeCell ref="A99:B99"/>
    <mergeCell ref="C100:D100"/>
    <mergeCell ref="C99:D99"/>
    <mergeCell ref="C113:D113"/>
    <mergeCell ref="C112:D112"/>
    <mergeCell ref="C111:D111"/>
    <mergeCell ref="A108:B108"/>
    <mergeCell ref="A102:B102"/>
    <mergeCell ref="A88:B88"/>
    <mergeCell ref="A86:B86"/>
    <mergeCell ref="A87:B87"/>
    <mergeCell ref="A91:B91"/>
    <mergeCell ref="A90:B90"/>
    <mergeCell ref="A92:B92"/>
    <mergeCell ref="A101:B101"/>
    <mergeCell ref="A98:B98"/>
    <mergeCell ref="A89:B89"/>
    <mergeCell ref="E84:I105"/>
    <mergeCell ref="C89:D89"/>
    <mergeCell ref="C88:D88"/>
    <mergeCell ref="C87:D87"/>
    <mergeCell ref="C86:D86"/>
    <mergeCell ref="C90:D90"/>
    <mergeCell ref="C91:D91"/>
    <mergeCell ref="C94:D94"/>
    <mergeCell ref="C93:D93"/>
    <mergeCell ref="C92:D92"/>
    <mergeCell ref="E82:F82"/>
    <mergeCell ref="A81:D81"/>
    <mergeCell ref="A82:D82"/>
    <mergeCell ref="D66:E66"/>
    <mergeCell ref="B65:C65"/>
    <mergeCell ref="B62:C62"/>
    <mergeCell ref="B61:C61"/>
    <mergeCell ref="C85:D85"/>
    <mergeCell ref="C84:D84"/>
    <mergeCell ref="B66:C66"/>
    <mergeCell ref="A85:B85"/>
    <mergeCell ref="A84:B84"/>
    <mergeCell ref="A28:B28"/>
    <mergeCell ref="A26:B26"/>
    <mergeCell ref="A32:I32"/>
    <mergeCell ref="A31:I31"/>
    <mergeCell ref="A30:B30"/>
    <mergeCell ref="A29:B29"/>
    <mergeCell ref="C30:I30"/>
    <mergeCell ref="C29:I29"/>
    <mergeCell ref="C28:I28"/>
    <mergeCell ref="C26:I26"/>
    <mergeCell ref="D166:E166"/>
    <mergeCell ref="D150:E155"/>
    <mergeCell ref="A33:C33"/>
    <mergeCell ref="A36:C36"/>
    <mergeCell ref="E81:F81"/>
    <mergeCell ref="A34:C34"/>
    <mergeCell ref="A35:C35"/>
    <mergeCell ref="E80:F80"/>
    <mergeCell ref="A80:D80"/>
    <mergeCell ref="A105:B105"/>
    <mergeCell ref="C15:I15"/>
    <mergeCell ref="A9:B9"/>
    <mergeCell ref="D165:E165"/>
    <mergeCell ref="D164:E164"/>
    <mergeCell ref="D163:E163"/>
    <mergeCell ref="C105:D105"/>
    <mergeCell ref="B147:C147"/>
    <mergeCell ref="D147:E147"/>
    <mergeCell ref="A128:B128"/>
    <mergeCell ref="C110:D110"/>
    <mergeCell ref="A7:B7"/>
    <mergeCell ref="A6:B6"/>
    <mergeCell ref="A16:B16"/>
    <mergeCell ref="A15:B15"/>
    <mergeCell ref="A8:B8"/>
    <mergeCell ref="A14:B14"/>
    <mergeCell ref="A12:B12"/>
    <mergeCell ref="A13:B13"/>
    <mergeCell ref="A10:B10"/>
    <mergeCell ref="D161:E161"/>
    <mergeCell ref="D160:E160"/>
    <mergeCell ref="D159:E159"/>
    <mergeCell ref="C16:I16"/>
    <mergeCell ref="D65:E65"/>
    <mergeCell ref="D63:E63"/>
    <mergeCell ref="D59:E59"/>
    <mergeCell ref="B63:C63"/>
    <mergeCell ref="B64:E64"/>
    <mergeCell ref="B59:C59"/>
    <mergeCell ref="B215:C215"/>
    <mergeCell ref="B216:C216"/>
    <mergeCell ref="B210:C210"/>
    <mergeCell ref="B182:C182"/>
    <mergeCell ref="B211:C211"/>
    <mergeCell ref="B214:C214"/>
    <mergeCell ref="B202:C202"/>
    <mergeCell ref="B187:C187"/>
    <mergeCell ref="B195:C195"/>
    <mergeCell ref="B199:C199"/>
    <mergeCell ref="B185:C185"/>
    <mergeCell ref="A22:B22"/>
    <mergeCell ref="B177:C177"/>
    <mergeCell ref="B183:C183"/>
    <mergeCell ref="B181:C181"/>
    <mergeCell ref="C22:I22"/>
    <mergeCell ref="B179:C179"/>
    <mergeCell ref="B178:C178"/>
    <mergeCell ref="A170:I170"/>
    <mergeCell ref="D162:E162"/>
    <mergeCell ref="A21:B21"/>
    <mergeCell ref="A20:B20"/>
    <mergeCell ref="A17:B17"/>
    <mergeCell ref="A19:I19"/>
    <mergeCell ref="A18:I18"/>
    <mergeCell ref="C21:I21"/>
    <mergeCell ref="C20:I20"/>
    <mergeCell ref="C17:I17"/>
    <mergeCell ref="B218:C218"/>
    <mergeCell ref="A206:B206"/>
    <mergeCell ref="B173:C173"/>
    <mergeCell ref="B172:C172"/>
    <mergeCell ref="B192:C192"/>
    <mergeCell ref="B203:C203"/>
    <mergeCell ref="A184:I184"/>
    <mergeCell ref="B180:C180"/>
    <mergeCell ref="B193:C193"/>
    <mergeCell ref="B175:C175"/>
    <mergeCell ref="A238:B238"/>
    <mergeCell ref="A236:B236"/>
    <mergeCell ref="B212:C212"/>
    <mergeCell ref="B213:C213"/>
    <mergeCell ref="C233:I233"/>
    <mergeCell ref="A230:I230"/>
    <mergeCell ref="D208:I229"/>
    <mergeCell ref="B217:C217"/>
    <mergeCell ref="C238:I238"/>
    <mergeCell ref="A232:B232"/>
    <mergeCell ref="A231:B231"/>
    <mergeCell ref="A233:B233"/>
    <mergeCell ref="C234:I234"/>
    <mergeCell ref="C231:I231"/>
    <mergeCell ref="C232:I232"/>
    <mergeCell ref="A237:I237"/>
    <mergeCell ref="A235:I235"/>
    <mergeCell ref="A234:B234"/>
    <mergeCell ref="A11:B11"/>
    <mergeCell ref="A229:B229"/>
    <mergeCell ref="B194:C194"/>
    <mergeCell ref="B188:C188"/>
    <mergeCell ref="B189:C189"/>
    <mergeCell ref="B190:C190"/>
    <mergeCell ref="B191:C191"/>
    <mergeCell ref="A255:I255"/>
    <mergeCell ref="C240:I240"/>
    <mergeCell ref="A254:B254"/>
    <mergeCell ref="A253:B253"/>
    <mergeCell ref="A252:B252"/>
    <mergeCell ref="A251:B251"/>
    <mergeCell ref="A250:I250"/>
    <mergeCell ref="C254:I254"/>
    <mergeCell ref="C253:I253"/>
    <mergeCell ref="C252:I252"/>
    <mergeCell ref="A261:B261"/>
    <mergeCell ref="A260:B260"/>
    <mergeCell ref="A259:B259"/>
    <mergeCell ref="C261:F261"/>
    <mergeCell ref="C260:F260"/>
    <mergeCell ref="A269:B269"/>
    <mergeCell ref="A273:B273"/>
    <mergeCell ref="A272:B272"/>
    <mergeCell ref="A271:B271"/>
    <mergeCell ref="A270:B270"/>
    <mergeCell ref="C251:I251"/>
    <mergeCell ref="C247:I247"/>
    <mergeCell ref="A246:I246"/>
    <mergeCell ref="C236:I236"/>
    <mergeCell ref="C249:I249"/>
    <mergeCell ref="A248:I248"/>
    <mergeCell ref="C239:I239"/>
    <mergeCell ref="A247:B247"/>
    <mergeCell ref="A249:B249"/>
    <mergeCell ref="A239:B239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</mergeCells>
  <printOptions horizontalCentered="1"/>
  <pageMargins left="0.32" right="0.22" top="0.77" bottom="0.67" header="0.5" footer="0.35"/>
  <pageSetup fitToHeight="0" fitToWidth="0" horizontalDpi="600" verticalDpi="600" orientation="portrait" scale="70" r:id="rId2"/>
  <headerFooter alignWithMargins="0">
    <oddHeader>&amp;RDate Printed: 03/04/09</oddHeader>
    <oddFooter>&amp;RPage &amp;P</oddFooter>
  </headerFooter>
  <rowBreaks count="8" manualBreakCount="8">
    <brk id="36" max="8" man="1"/>
    <brk id="54" max="8" man="1"/>
    <brk id="105" max="8" man="1"/>
    <brk id="155" max="8" man="1"/>
    <brk id="206" max="8" man="1"/>
    <brk id="234" max="8" man="1"/>
    <brk id="253" max="8" man="1"/>
    <brk id="266" max="8" man="1"/>
  </rowBreaks>
  <colBreaks count="1" manualBreakCount="1">
    <brk id="11" max="25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IV336"/>
  <sheetViews>
    <sheetView showGridLines="0" showZeros="0" zoomScalePageLayoutView="0" workbookViewId="0" topLeftCell="A5">
      <pane ySplit="1" topLeftCell="BM96" activePane="bottomLeft" state="frozen"/>
      <selection pane="topLeft" activeCell="A5" sqref="A5"/>
      <selection pane="bottomLeft" activeCell="C112" sqref="C112"/>
    </sheetView>
  </sheetViews>
  <sheetFormatPr defaultColWidth="9.140625" defaultRowHeight="15"/>
  <cols>
    <col min="1" max="1" width="53.421875" style="0" customWidth="1"/>
    <col min="2" max="2" width="28.8515625" style="0" customWidth="1"/>
    <col min="3" max="3" width="11.7109375" style="0" bestFit="1" customWidth="1"/>
    <col min="4" max="4" width="8.57421875" style="0" bestFit="1" customWidth="1"/>
    <col min="5" max="5" width="23.8515625" style="0" customWidth="1"/>
  </cols>
  <sheetData>
    <row r="1" spans="1:2" ht="81" customHeight="1">
      <c r="A1" s="237" t="s">
        <v>220</v>
      </c>
      <c r="B1" s="238"/>
    </row>
    <row r="2" s="6" customFormat="1" ht="15">
      <c r="A2" s="6" t="s">
        <v>21</v>
      </c>
    </row>
    <row r="3" s="6" customFormat="1" ht="15"/>
    <row r="4" s="6" customFormat="1" ht="15"/>
    <row r="5" spans="1:2" s="6" customFormat="1" ht="15">
      <c r="A5" s="311" t="s">
        <v>14</v>
      </c>
      <c r="B5" s="311"/>
    </row>
    <row r="6" spans="1:2" s="6" customFormat="1" ht="15">
      <c r="A6" s="312" t="s">
        <v>20</v>
      </c>
      <c r="B6" s="312"/>
    </row>
    <row r="7" spans="1:2" s="6" customFormat="1" ht="15">
      <c r="A7" s="2" t="s">
        <v>16</v>
      </c>
      <c r="B7" s="7"/>
    </row>
    <row r="8" spans="1:2" s="6" customFormat="1" ht="15">
      <c r="A8" s="2" t="s">
        <v>0</v>
      </c>
      <c r="B8" s="7"/>
    </row>
    <row r="9" spans="1:2" s="6" customFormat="1" ht="15">
      <c r="A9" s="2" t="s">
        <v>12</v>
      </c>
      <c r="B9" s="7"/>
    </row>
    <row r="10" spans="1:2" s="6" customFormat="1" ht="15">
      <c r="A10" s="2" t="s">
        <v>13</v>
      </c>
      <c r="B10" s="7"/>
    </row>
    <row r="11" spans="1:2" s="6" customFormat="1" ht="15">
      <c r="A11" s="2" t="s">
        <v>10</v>
      </c>
      <c r="B11" s="7"/>
    </row>
    <row r="12" spans="1:2" s="6" customFormat="1" ht="15">
      <c r="A12" s="2" t="s">
        <v>11</v>
      </c>
      <c r="B12" s="7"/>
    </row>
    <row r="13" spans="1:2" s="6" customFormat="1" ht="15">
      <c r="A13" s="2" t="s">
        <v>17</v>
      </c>
      <c r="B13" s="8"/>
    </row>
    <row r="14" spans="1:2" s="6" customFormat="1" ht="15">
      <c r="A14" s="2" t="s">
        <v>205</v>
      </c>
      <c r="B14" s="8"/>
    </row>
    <row r="15" spans="1:2" s="6" customFormat="1" ht="15">
      <c r="A15" s="2" t="s">
        <v>18</v>
      </c>
      <c r="B15" s="7"/>
    </row>
    <row r="16" spans="1:2" s="6" customFormat="1" ht="15">
      <c r="A16" s="2" t="s">
        <v>1</v>
      </c>
      <c r="B16" s="7"/>
    </row>
    <row r="17" spans="1:2" s="6" customFormat="1" ht="15">
      <c r="A17" s="315" t="s">
        <v>15</v>
      </c>
      <c r="B17" s="316"/>
    </row>
    <row r="18" spans="1:2" s="6" customFormat="1" ht="15">
      <c r="A18" s="12" t="s">
        <v>9</v>
      </c>
      <c r="B18" s="11" t="b">
        <v>0</v>
      </c>
    </row>
    <row r="19" spans="1:2" s="6" customFormat="1" ht="15">
      <c r="A19" s="12" t="s">
        <v>93</v>
      </c>
      <c r="B19" s="11" t="b">
        <v>0</v>
      </c>
    </row>
    <row r="20" spans="1:2" s="6" customFormat="1" ht="15">
      <c r="A20" s="12" t="s">
        <v>7</v>
      </c>
      <c r="B20" s="11" t="b">
        <v>0</v>
      </c>
    </row>
    <row r="21" spans="1:2" s="6" customFormat="1" ht="15">
      <c r="A21" s="12" t="s">
        <v>8</v>
      </c>
      <c r="B21" s="11" t="b">
        <v>0</v>
      </c>
    </row>
    <row r="22" spans="1:2" s="6" customFormat="1" ht="15">
      <c r="A22" s="77" t="s">
        <v>91</v>
      </c>
      <c r="B22" s="78"/>
    </row>
    <row r="23" spans="1:2" s="6" customFormat="1" ht="15">
      <c r="A23" s="13" t="s">
        <v>2</v>
      </c>
      <c r="B23" s="11" t="b">
        <v>1</v>
      </c>
    </row>
    <row r="24" spans="1:2" s="6" customFormat="1" ht="15">
      <c r="A24" s="13" t="s">
        <v>3</v>
      </c>
      <c r="B24" s="11" t="b">
        <v>0</v>
      </c>
    </row>
    <row r="25" spans="1:2" s="6" customFormat="1" ht="15">
      <c r="A25" s="13" t="s">
        <v>4</v>
      </c>
      <c r="B25" s="11" t="b">
        <v>0</v>
      </c>
    </row>
    <row r="26" spans="1:2" s="6" customFormat="1" ht="15">
      <c r="A26" s="13" t="s">
        <v>5</v>
      </c>
      <c r="B26" s="11" t="b">
        <v>0</v>
      </c>
    </row>
    <row r="27" spans="1:2" s="6" customFormat="1" ht="15">
      <c r="A27" s="9" t="s">
        <v>6</v>
      </c>
      <c r="B27" s="9" t="b">
        <v>0</v>
      </c>
    </row>
    <row r="28" spans="1:2" s="6" customFormat="1" ht="15">
      <c r="A28" s="311" t="s">
        <v>22</v>
      </c>
      <c r="B28" s="311"/>
    </row>
    <row r="29" spans="1:2" ht="15">
      <c r="A29" s="309" t="s">
        <v>23</v>
      </c>
      <c r="B29" s="310"/>
    </row>
    <row r="30" spans="1:2" ht="15">
      <c r="A30" s="2" t="s">
        <v>24</v>
      </c>
      <c r="B30" s="9"/>
    </row>
    <row r="31" spans="1:2" ht="15">
      <c r="A31" s="317" t="s">
        <v>25</v>
      </c>
      <c r="B31" s="318"/>
    </row>
    <row r="32" spans="1:2" ht="15">
      <c r="A32" s="2" t="s">
        <v>94</v>
      </c>
      <c r="B32" s="9" t="b">
        <v>0</v>
      </c>
    </row>
    <row r="33" spans="1:2" ht="15">
      <c r="A33" s="2" t="s">
        <v>95</v>
      </c>
      <c r="B33" s="9" t="b">
        <v>0</v>
      </c>
    </row>
    <row r="34" spans="1:2" ht="15">
      <c r="A34" s="2" t="s">
        <v>27</v>
      </c>
      <c r="B34" s="9"/>
    </row>
    <row r="35" spans="1:2" ht="15">
      <c r="A35" s="33" t="s">
        <v>96</v>
      </c>
      <c r="B35" s="14" t="b">
        <v>0</v>
      </c>
    </row>
    <row r="36" spans="1:2" ht="15">
      <c r="A36" s="33" t="s">
        <v>97</v>
      </c>
      <c r="B36" s="14" t="b">
        <v>0</v>
      </c>
    </row>
    <row r="37" spans="1:2" ht="15">
      <c r="A37" s="33" t="s">
        <v>187</v>
      </c>
      <c r="B37" s="14" t="b">
        <v>0</v>
      </c>
    </row>
    <row r="38" spans="1:2" ht="15">
      <c r="A38" s="309" t="s">
        <v>92</v>
      </c>
      <c r="B38" s="310"/>
    </row>
    <row r="39" spans="1:2" ht="15">
      <c r="A39" s="5" t="s">
        <v>26</v>
      </c>
      <c r="B39" t="b">
        <v>0</v>
      </c>
    </row>
    <row r="40" spans="1:2" ht="15">
      <c r="A40" s="79" t="s">
        <v>98</v>
      </c>
      <c r="B40" s="11"/>
    </row>
    <row r="41" spans="1:2" ht="15">
      <c r="A41" s="79" t="s">
        <v>239</v>
      </c>
      <c r="B41" s="11"/>
    </row>
    <row r="42" spans="1:2" ht="15">
      <c r="A42" s="79" t="s">
        <v>240</v>
      </c>
      <c r="B42" s="11"/>
    </row>
    <row r="43" spans="1:2" ht="15">
      <c r="A43" s="79" t="s">
        <v>241</v>
      </c>
      <c r="B43" s="11"/>
    </row>
    <row r="44" spans="1:2" ht="15">
      <c r="A44" s="79" t="s">
        <v>242</v>
      </c>
      <c r="B44" s="11"/>
    </row>
    <row r="45" spans="1:2" ht="15">
      <c r="A45" s="79" t="s">
        <v>243</v>
      </c>
      <c r="B45" s="11"/>
    </row>
    <row r="46" spans="1:2" ht="15">
      <c r="A46" s="79" t="s">
        <v>244</v>
      </c>
      <c r="B46" s="11"/>
    </row>
    <row r="47" spans="1:2" ht="15">
      <c r="A47" s="79" t="s">
        <v>224</v>
      </c>
      <c r="B47" s="11" t="s">
        <v>98</v>
      </c>
    </row>
    <row r="48" spans="1:2" ht="15">
      <c r="A48" s="88" t="s">
        <v>222</v>
      </c>
      <c r="B48" s="11"/>
    </row>
    <row r="49" spans="1:2" ht="15">
      <c r="A49" s="2" t="s">
        <v>176</v>
      </c>
      <c r="B49" s="15"/>
    </row>
    <row r="50" spans="1:2" ht="15">
      <c r="A50" s="2" t="s">
        <v>29</v>
      </c>
      <c r="B50" s="11"/>
    </row>
    <row r="51" spans="1:2" ht="15">
      <c r="A51" s="2" t="s">
        <v>96</v>
      </c>
      <c r="B51" s="15"/>
    </row>
    <row r="52" spans="1:2" ht="15">
      <c r="A52" s="2" t="s">
        <v>97</v>
      </c>
      <c r="B52" s="15"/>
    </row>
    <row r="53" spans="1:2" ht="30">
      <c r="A53" s="3" t="s">
        <v>30</v>
      </c>
      <c r="B53" s="9" t="b">
        <v>1</v>
      </c>
    </row>
    <row r="54" spans="1:2" ht="15">
      <c r="A54" s="248" t="s">
        <v>31</v>
      </c>
      <c r="B54" s="319"/>
    </row>
    <row r="55" spans="1:2" ht="15">
      <c r="A55" s="320" t="s">
        <v>32</v>
      </c>
      <c r="B55" s="321"/>
    </row>
    <row r="56" spans="1:5" ht="15">
      <c r="A56" s="3" t="s">
        <v>33</v>
      </c>
      <c r="B56" s="9"/>
      <c r="C56" t="b">
        <v>0</v>
      </c>
      <c r="D56" t="b">
        <v>0</v>
      </c>
      <c r="E56" t="b">
        <v>0</v>
      </c>
    </row>
    <row r="57" spans="1:2" ht="30">
      <c r="A57" s="3" t="s">
        <v>34</v>
      </c>
      <c r="B57" s="9"/>
    </row>
    <row r="58" spans="1:2" ht="15">
      <c r="A58" s="3" t="s">
        <v>101</v>
      </c>
      <c r="B58" s="9" t="b">
        <v>0</v>
      </c>
    </row>
    <row r="59" spans="1:2" ht="15">
      <c r="A59" s="3" t="s">
        <v>102</v>
      </c>
      <c r="B59" s="9" t="b">
        <v>0</v>
      </c>
    </row>
    <row r="60" spans="1:2" ht="15">
      <c r="A60" s="3" t="s">
        <v>103</v>
      </c>
      <c r="B60" s="9" t="b">
        <v>0</v>
      </c>
    </row>
    <row r="61" spans="1:3" ht="15">
      <c r="A61" s="3" t="s">
        <v>104</v>
      </c>
      <c r="B61" s="9" t="b">
        <v>0</v>
      </c>
      <c r="C61" t="b">
        <v>0</v>
      </c>
    </row>
    <row r="62" spans="1:3" ht="15">
      <c r="A62" s="3" t="s">
        <v>105</v>
      </c>
      <c r="B62" s="9" t="b">
        <v>0</v>
      </c>
      <c r="C62" t="b">
        <v>0</v>
      </c>
    </row>
    <row r="63" spans="1:3" ht="15">
      <c r="A63" s="4" t="s">
        <v>35</v>
      </c>
      <c r="B63" s="9"/>
      <c r="C63" t="b">
        <v>0</v>
      </c>
    </row>
    <row r="64" spans="1:3" ht="15">
      <c r="A64" s="2" t="s">
        <v>36</v>
      </c>
      <c r="B64" s="9"/>
      <c r="C64" t="b">
        <v>0</v>
      </c>
    </row>
    <row r="65" spans="1:3" ht="30">
      <c r="A65" s="4" t="s">
        <v>37</v>
      </c>
      <c r="B65" s="9"/>
      <c r="C65" t="b">
        <v>0</v>
      </c>
    </row>
    <row r="66" spans="1:6" s="17" customFormat="1" ht="408.75" customHeight="1">
      <c r="A66" s="80" t="s">
        <v>38</v>
      </c>
      <c r="B66"/>
      <c r="C66" s="89"/>
      <c r="D66" s="89"/>
      <c r="E66" s="90"/>
      <c r="F66" s="2" t="b">
        <v>0</v>
      </c>
    </row>
    <row r="67" spans="1:6" s="17" customFormat="1" ht="408.75" customHeight="1">
      <c r="A67" s="80" t="s">
        <v>39</v>
      </c>
      <c r="B67"/>
      <c r="C67" s="89"/>
      <c r="D67" s="89"/>
      <c r="E67" s="90"/>
      <c r="F67" s="26" t="b">
        <v>0</v>
      </c>
    </row>
    <row r="68" spans="1:6" s="17" customFormat="1" ht="408.75" customHeight="1">
      <c r="A68" s="80" t="s">
        <v>40</v>
      </c>
      <c r="B68" s="104"/>
      <c r="C68" s="89"/>
      <c r="D68" s="89"/>
      <c r="E68" s="90"/>
      <c r="F68" s="26" t="b">
        <v>0</v>
      </c>
    </row>
    <row r="69" spans="1:6" s="17" customFormat="1" ht="408.75" customHeight="1">
      <c r="A69" s="80" t="s">
        <v>41</v>
      </c>
      <c r="B69"/>
      <c r="C69" s="89"/>
      <c r="D69" s="89"/>
      <c r="E69" s="90"/>
      <c r="F69" s="26" t="b">
        <v>0</v>
      </c>
    </row>
    <row r="70" spans="1:6" s="17" customFormat="1" ht="408.75" customHeight="1">
      <c r="A70" s="80" t="s">
        <v>42</v>
      </c>
      <c r="B70"/>
      <c r="C70" s="89"/>
      <c r="D70" s="89"/>
      <c r="E70" s="90"/>
      <c r="F70" s="26" t="b">
        <v>0</v>
      </c>
    </row>
    <row r="71" spans="1:6" s="17" customFormat="1" ht="408.75" customHeight="1">
      <c r="A71" s="80" t="s">
        <v>43</v>
      </c>
      <c r="B71"/>
      <c r="C71" s="89"/>
      <c r="D71" s="89"/>
      <c r="E71" s="90"/>
      <c r="F71" s="26" t="b">
        <v>0</v>
      </c>
    </row>
    <row r="72" spans="1:6" s="17" customFormat="1" ht="408.75" customHeight="1">
      <c r="A72" s="80" t="s">
        <v>44</v>
      </c>
      <c r="B72"/>
      <c r="C72" s="89"/>
      <c r="D72" s="89"/>
      <c r="E72" s="90"/>
      <c r="F72" s="26" t="b">
        <v>0</v>
      </c>
    </row>
    <row r="73" spans="1:6" s="17" customFormat="1" ht="408.75" customHeight="1">
      <c r="A73" s="80" t="s">
        <v>45</v>
      </c>
      <c r="B73"/>
      <c r="C73" s="89"/>
      <c r="D73" s="89"/>
      <c r="E73" s="90"/>
      <c r="F73" s="26" t="b">
        <v>0</v>
      </c>
    </row>
    <row r="74" spans="1:6" s="17" customFormat="1" ht="408.75" customHeight="1">
      <c r="A74" s="80" t="s">
        <v>46</v>
      </c>
      <c r="B74"/>
      <c r="C74" s="89"/>
      <c r="D74" s="89"/>
      <c r="E74" s="90"/>
      <c r="F74" s="26" t="b">
        <v>0</v>
      </c>
    </row>
    <row r="75" spans="1:6" s="17" customFormat="1" ht="408.75" customHeight="1">
      <c r="A75" s="80" t="s">
        <v>47</v>
      </c>
      <c r="B75"/>
      <c r="C75" s="89"/>
      <c r="D75" s="89"/>
      <c r="E75" s="90"/>
      <c r="F75" s="26" t="b">
        <v>0</v>
      </c>
    </row>
    <row r="76" spans="1:6" s="17" customFormat="1" ht="408.75" customHeight="1">
      <c r="A76" s="80" t="s">
        <v>48</v>
      </c>
      <c r="B76"/>
      <c r="C76" s="89"/>
      <c r="D76" s="89"/>
      <c r="E76" s="90"/>
      <c r="F76" s="26" t="b">
        <v>0</v>
      </c>
    </row>
    <row r="77" spans="1:6" s="17" customFormat="1" ht="408.75" customHeight="1">
      <c r="A77" s="80" t="s">
        <v>49</v>
      </c>
      <c r="B77"/>
      <c r="C77" s="89"/>
      <c r="D77" s="89"/>
      <c r="E77" s="90"/>
      <c r="F77" s="26" t="b">
        <v>0</v>
      </c>
    </row>
    <row r="78" spans="1:6" s="17" customFormat="1" ht="408.75" customHeight="1">
      <c r="A78" s="80" t="s">
        <v>50</v>
      </c>
      <c r="B78"/>
      <c r="C78" s="89"/>
      <c r="D78" s="89"/>
      <c r="E78" s="90"/>
      <c r="F78" s="26" t="b">
        <v>0</v>
      </c>
    </row>
    <row r="79" spans="1:6" s="17" customFormat="1" ht="408.75" customHeight="1">
      <c r="A79" s="80" t="s">
        <v>51</v>
      </c>
      <c r="B79"/>
      <c r="C79" s="89"/>
      <c r="D79" s="89"/>
      <c r="E79" s="90"/>
      <c r="F79" s="26" t="b">
        <v>0</v>
      </c>
    </row>
    <row r="80" spans="1:6" s="17" customFormat="1" ht="408.75" customHeight="1">
      <c r="A80" s="80" t="s">
        <v>52</v>
      </c>
      <c r="B80"/>
      <c r="C80" s="89"/>
      <c r="D80" s="89"/>
      <c r="E80" s="90"/>
      <c r="F80" s="26" t="b">
        <v>0</v>
      </c>
    </row>
    <row r="81" spans="1:2" s="17" customFormat="1" ht="15.75" thickBot="1">
      <c r="A81" s="303" t="s">
        <v>130</v>
      </c>
      <c r="B81" s="303"/>
    </row>
    <row r="82" spans="1:4" s="17" customFormat="1" ht="15.75" thickBot="1">
      <c r="A82" s="266" t="s">
        <v>133</v>
      </c>
      <c r="B82" s="267"/>
      <c r="C82" s="267"/>
      <c r="D82" s="268"/>
    </row>
    <row r="83" spans="1:4" s="17" customFormat="1" ht="15">
      <c r="A83" s="30" t="s">
        <v>53</v>
      </c>
      <c r="B83" s="269">
        <f>B63</f>
        <v>0</v>
      </c>
      <c r="C83" s="270"/>
      <c r="D83" s="270"/>
    </row>
    <row r="84" spans="1:4" s="17" customFormat="1" ht="15">
      <c r="A84" s="263" t="s">
        <v>131</v>
      </c>
      <c r="B84" s="263"/>
      <c r="C84" s="263"/>
      <c r="D84" s="263"/>
    </row>
    <row r="85" spans="1:4" s="17" customFormat="1" ht="15">
      <c r="A85" s="29" t="s">
        <v>59</v>
      </c>
      <c r="B85" s="255"/>
      <c r="C85" s="256"/>
      <c r="D85" s="256"/>
    </row>
    <row r="86" spans="1:4" s="17" customFormat="1" ht="15">
      <c r="A86" s="27" t="s">
        <v>60</v>
      </c>
      <c r="B86" s="255"/>
      <c r="C86" s="256"/>
      <c r="D86" s="256"/>
    </row>
    <row r="87" spans="1:4" s="17" customFormat="1" ht="15">
      <c r="A87" s="27" t="s">
        <v>61</v>
      </c>
      <c r="B87" s="255"/>
      <c r="C87" s="256"/>
      <c r="D87" s="256"/>
    </row>
    <row r="88" spans="1:4" s="17" customFormat="1" ht="15">
      <c r="A88" s="27" t="s">
        <v>62</v>
      </c>
      <c r="B88" s="255"/>
      <c r="C88" s="256"/>
      <c r="D88" s="256"/>
    </row>
    <row r="89" spans="1:4" s="17" customFormat="1" ht="15">
      <c r="A89" s="27" t="s">
        <v>63</v>
      </c>
      <c r="B89" s="255"/>
      <c r="C89" s="256"/>
      <c r="D89" s="256"/>
    </row>
    <row r="90" spans="1:4" s="17" customFormat="1" ht="15">
      <c r="A90" s="27" t="s">
        <v>64</v>
      </c>
      <c r="B90" s="255"/>
      <c r="C90" s="256"/>
      <c r="D90" s="256"/>
    </row>
    <row r="91" spans="1:4" s="17" customFormat="1" ht="15">
      <c r="A91" s="27" t="s">
        <v>65</v>
      </c>
      <c r="B91" s="255"/>
      <c r="C91" s="256"/>
      <c r="D91" s="256"/>
    </row>
    <row r="92" spans="1:4" s="17" customFormat="1" ht="15">
      <c r="A92" s="28" t="s">
        <v>66</v>
      </c>
      <c r="B92" s="255"/>
      <c r="C92" s="256"/>
      <c r="D92" s="256"/>
    </row>
    <row r="93" spans="1:4" s="17" customFormat="1" ht="15">
      <c r="A93" s="263" t="s">
        <v>132</v>
      </c>
      <c r="B93" s="263"/>
      <c r="C93" s="263"/>
      <c r="D93" s="263"/>
    </row>
    <row r="94" spans="1:4" s="17" customFormat="1" ht="15">
      <c r="A94" s="29" t="s">
        <v>59</v>
      </c>
      <c r="B94" s="264"/>
      <c r="C94" s="265"/>
      <c r="D94" s="265"/>
    </row>
    <row r="95" spans="1:4" s="17" customFormat="1" ht="15">
      <c r="A95" s="27" t="s">
        <v>60</v>
      </c>
      <c r="B95" s="255"/>
      <c r="C95" s="256"/>
      <c r="D95" s="256"/>
    </row>
    <row r="96" spans="1:4" s="17" customFormat="1" ht="15">
      <c r="A96" s="27" t="s">
        <v>61</v>
      </c>
      <c r="B96" s="255"/>
      <c r="C96" s="256"/>
      <c r="D96" s="256"/>
    </row>
    <row r="97" spans="1:4" s="17" customFormat="1" ht="15">
      <c r="A97" s="27" t="s">
        <v>62</v>
      </c>
      <c r="B97" s="255"/>
      <c r="C97" s="256"/>
      <c r="D97" s="256"/>
    </row>
    <row r="98" spans="1:4" s="17" customFormat="1" ht="15">
      <c r="A98" s="27" t="s">
        <v>63</v>
      </c>
      <c r="B98" s="255"/>
      <c r="C98" s="256"/>
      <c r="D98" s="256"/>
    </row>
    <row r="99" spans="1:4" s="17" customFormat="1" ht="15">
      <c r="A99" s="27" t="s">
        <v>64</v>
      </c>
      <c r="B99" s="255"/>
      <c r="C99" s="256"/>
      <c r="D99" s="256"/>
    </row>
    <row r="100" spans="1:4" s="17" customFormat="1" ht="15">
      <c r="A100" s="27" t="s">
        <v>65</v>
      </c>
      <c r="B100" s="255"/>
      <c r="C100" s="256"/>
      <c r="D100" s="256"/>
    </row>
    <row r="101" spans="1:4" s="17" customFormat="1" ht="15.75" thickBot="1">
      <c r="A101" s="27" t="s">
        <v>66</v>
      </c>
      <c r="B101" s="255"/>
      <c r="C101" s="256"/>
      <c r="D101" s="256"/>
    </row>
    <row r="102" spans="1:4" s="17" customFormat="1" ht="15.75" thickBot="1">
      <c r="A102" s="266" t="s">
        <v>133</v>
      </c>
      <c r="B102" s="306"/>
      <c r="C102" s="306"/>
      <c r="D102" s="307"/>
    </row>
    <row r="103" spans="1:4" s="17" customFormat="1" ht="15">
      <c r="A103" s="19" t="s">
        <v>53</v>
      </c>
      <c r="B103" s="308">
        <f>TotalProjectBudget</f>
        <v>0</v>
      </c>
      <c r="C103" s="308"/>
      <c r="D103" s="308"/>
    </row>
    <row r="104" spans="1:4" s="17" customFormat="1" ht="15">
      <c r="A104" s="19"/>
      <c r="B104" s="72"/>
      <c r="C104" s="72"/>
      <c r="D104" s="72"/>
    </row>
    <row r="105" spans="1:4" s="17" customFormat="1" ht="15">
      <c r="A105" s="19" t="s">
        <v>170</v>
      </c>
      <c r="B105" s="72"/>
      <c r="C105" s="72"/>
      <c r="D105" s="72"/>
    </row>
    <row r="106" spans="1:4" s="17" customFormat="1" ht="15">
      <c r="A106" s="27" t="s">
        <v>165</v>
      </c>
      <c r="B106" s="72"/>
      <c r="C106" s="72"/>
      <c r="D106" s="72"/>
    </row>
    <row r="107" spans="1:4" s="17" customFormat="1" ht="30">
      <c r="A107" s="27" t="s">
        <v>169</v>
      </c>
      <c r="B107" s="18">
        <f>IF(B106=0,"",(totalcapexp-caplocaldollar))</f>
      </c>
      <c r="C107" s="73">
        <f>IF(B106=0,"",(capfedsharedollar/B106))</f>
      </c>
      <c r="D107" s="1"/>
    </row>
    <row r="108" spans="1:4" s="17" customFormat="1" ht="15">
      <c r="A108" s="27" t="s">
        <v>167</v>
      </c>
      <c r="B108" s="18">
        <f>IF(B106=0,"",(CapSubLocalFunds+CapSubInKindMatch))</f>
      </c>
      <c r="C108" s="73">
        <f>IF(B106=0,"",(caplocaldollar/B106))</f>
      </c>
      <c r="D108" s="1"/>
    </row>
    <row r="109" spans="1:4" s="17" customFormat="1" ht="15">
      <c r="A109" s="19" t="s">
        <v>171</v>
      </c>
      <c r="B109" s="18"/>
      <c r="C109" s="73"/>
      <c r="D109" s="1"/>
    </row>
    <row r="110" spans="1:4" s="17" customFormat="1" ht="15">
      <c r="A110" s="27" t="s">
        <v>166</v>
      </c>
      <c r="B110" s="18">
        <v>0</v>
      </c>
      <c r="C110" s="106">
        <f>totalopexp-totaloprev</f>
        <v>0</v>
      </c>
      <c r="D110" s="1"/>
    </row>
    <row r="111" spans="1:4" s="17" customFormat="1" ht="30">
      <c r="A111" s="27" t="s">
        <v>168</v>
      </c>
      <c r="B111" s="18">
        <f>IF(B110=0,"",(netopexpenses-oplocaldollar))</f>
      </c>
      <c r="C111" s="105">
        <f>IF(totalopexp=0,"",(opfedsharedollar/netopexpenses))</f>
      </c>
      <c r="D111" s="1"/>
    </row>
    <row r="112" spans="1:4" s="17" customFormat="1" ht="15">
      <c r="A112" s="27" t="s">
        <v>62</v>
      </c>
      <c r="B112" s="18">
        <f>IF(totalopexp=0,"",(OpSubLocalFunds+OpSubInKindMatch))</f>
      </c>
      <c r="C112" s="73">
        <f>IF(totalopexp=0,"",(oplocaldollar/netopexpenses))</f>
      </c>
      <c r="D112" s="1"/>
    </row>
    <row r="113" spans="1:4" s="17" customFormat="1" ht="15">
      <c r="A113" s="19" t="s">
        <v>63</v>
      </c>
      <c r="B113" s="301"/>
      <c r="C113" s="301"/>
      <c r="D113" s="301"/>
    </row>
    <row r="114" spans="1:4" s="17" customFormat="1" ht="15">
      <c r="A114" s="19" t="s">
        <v>64</v>
      </c>
      <c r="B114" s="301"/>
      <c r="C114" s="301"/>
      <c r="D114" s="301"/>
    </row>
    <row r="115" spans="1:4" s="17" customFormat="1" ht="15">
      <c r="A115" s="19" t="s">
        <v>65</v>
      </c>
      <c r="B115" s="301"/>
      <c r="C115" s="301"/>
      <c r="D115" s="301"/>
    </row>
    <row r="116" spans="1:4" s="17" customFormat="1" ht="15">
      <c r="A116" s="30" t="s">
        <v>66</v>
      </c>
      <c r="B116" s="301"/>
      <c r="C116" s="301"/>
      <c r="D116" s="301"/>
    </row>
    <row r="117" spans="1:5" s="17" customFormat="1" ht="15.75">
      <c r="A117" s="302" t="s">
        <v>135</v>
      </c>
      <c r="B117" s="302"/>
      <c r="C117" s="302"/>
      <c r="D117" s="302"/>
      <c r="E117" s="302"/>
    </row>
    <row r="118" spans="1:5" s="36" customFormat="1" ht="15.75" thickBot="1">
      <c r="A118" s="52" t="s">
        <v>106</v>
      </c>
      <c r="B118" s="53" t="s">
        <v>107</v>
      </c>
      <c r="C118" s="53" t="s">
        <v>108</v>
      </c>
      <c r="D118" s="53" t="s">
        <v>109</v>
      </c>
      <c r="E118" s="54"/>
    </row>
    <row r="119" spans="1:6" s="17" customFormat="1" ht="15">
      <c r="A119" s="58"/>
      <c r="B119" s="59"/>
      <c r="C119" s="60"/>
      <c r="D119" s="60">
        <f>JARCCapQuantity1*JARCCapUnitP1</f>
        <v>0</v>
      </c>
      <c r="E119" s="61" t="b">
        <v>0</v>
      </c>
      <c r="F119" s="17" t="s">
        <v>147</v>
      </c>
    </row>
    <row r="120" spans="1:6" s="17" customFormat="1" ht="15.75" thickBot="1">
      <c r="A120" s="261"/>
      <c r="B120" s="262"/>
      <c r="C120" s="262"/>
      <c r="D120" s="297"/>
      <c r="E120" s="62" t="b">
        <v>0</v>
      </c>
      <c r="F120" s="17" t="s">
        <v>148</v>
      </c>
    </row>
    <row r="121" spans="1:5" s="17" customFormat="1" ht="15">
      <c r="A121" s="55"/>
      <c r="B121" s="56"/>
      <c r="C121" s="57"/>
      <c r="D121" s="57">
        <f>JARCCapQuantity2*JARCCapUnitP2</f>
        <v>0</v>
      </c>
      <c r="E121" s="56" t="b">
        <v>0</v>
      </c>
    </row>
    <row r="122" spans="1:5" s="17" customFormat="1" ht="15.75" thickBot="1">
      <c r="A122" s="261"/>
      <c r="B122" s="262"/>
      <c r="C122" s="262"/>
      <c r="D122" s="297"/>
      <c r="E122" s="62" t="b">
        <v>0</v>
      </c>
    </row>
    <row r="123" spans="1:5" s="17" customFormat="1" ht="15">
      <c r="A123" s="21"/>
      <c r="B123" s="26"/>
      <c r="C123" s="22"/>
      <c r="D123" s="22">
        <f>JARCCapQuantity3*JARCCapUnitP3</f>
        <v>0</v>
      </c>
      <c r="E123" s="26" t="b">
        <v>0</v>
      </c>
    </row>
    <row r="124" spans="1:5" s="17" customFormat="1" ht="15.75" thickBot="1">
      <c r="A124" s="261"/>
      <c r="B124" s="262"/>
      <c r="C124" s="262"/>
      <c r="D124" s="297"/>
      <c r="E124" s="62" t="b">
        <v>0</v>
      </c>
    </row>
    <row r="125" spans="1:5" s="17" customFormat="1" ht="15">
      <c r="A125" s="21"/>
      <c r="B125" s="26"/>
      <c r="C125" s="22"/>
      <c r="D125" s="22">
        <f>JARCCapQuantity4*JARCCapUnitP4</f>
        <v>0</v>
      </c>
      <c r="E125" s="26" t="b">
        <v>0</v>
      </c>
    </row>
    <row r="126" spans="1:5" s="17" customFormat="1" ht="15.75" thickBot="1">
      <c r="A126" s="261"/>
      <c r="B126" s="262"/>
      <c r="C126" s="262"/>
      <c r="D126" s="297"/>
      <c r="E126" s="62" t="b">
        <v>0</v>
      </c>
    </row>
    <row r="127" spans="1:5" s="17" customFormat="1" ht="15">
      <c r="A127" s="21"/>
      <c r="B127" s="26"/>
      <c r="C127" s="22"/>
      <c r="D127" s="22">
        <f>JARCCapQuantity5*JARCCapUnitP5</f>
        <v>0</v>
      </c>
      <c r="E127" s="26" t="b">
        <v>0</v>
      </c>
    </row>
    <row r="128" spans="1:5" s="17" customFormat="1" ht="15.75" thickBot="1">
      <c r="A128" s="261"/>
      <c r="B128" s="262"/>
      <c r="C128" s="262"/>
      <c r="D128" s="297"/>
      <c r="E128" s="62" t="b">
        <v>0</v>
      </c>
    </row>
    <row r="129" spans="1:5" s="17" customFormat="1" ht="15">
      <c r="A129" s="21" t="s">
        <v>157</v>
      </c>
      <c r="B129" s="26"/>
      <c r="C129" s="22"/>
      <c r="D129" s="22">
        <f>JARCCapQuantity6*JARCCapUnitP6</f>
        <v>0</v>
      </c>
      <c r="E129" s="26" t="b">
        <v>0</v>
      </c>
    </row>
    <row r="130" spans="1:5" s="17" customFormat="1" ht="15.75" thickBot="1">
      <c r="A130" s="261"/>
      <c r="B130" s="262"/>
      <c r="C130" s="262"/>
      <c r="D130" s="297"/>
      <c r="E130" s="62" t="b">
        <v>0</v>
      </c>
    </row>
    <row r="131" spans="1:5" s="17" customFormat="1" ht="15">
      <c r="A131" s="19"/>
      <c r="B131" s="20"/>
      <c r="C131" s="22"/>
      <c r="D131" s="22">
        <f>JARCCapQuantity7*JARCCapUnitP7</f>
        <v>0</v>
      </c>
      <c r="E131" s="26" t="b">
        <v>0</v>
      </c>
    </row>
    <row r="132" spans="1:5" s="17" customFormat="1" ht="15.75" thickBot="1">
      <c r="A132" s="261"/>
      <c r="B132" s="262"/>
      <c r="C132" s="262"/>
      <c r="D132" s="297"/>
      <c r="E132" s="62" t="b">
        <v>0</v>
      </c>
    </row>
    <row r="133" spans="1:5" s="17" customFormat="1" ht="15">
      <c r="A133" s="19"/>
      <c r="B133" s="20"/>
      <c r="C133" s="22"/>
      <c r="D133" s="22">
        <f>JARCCapQuantity8*JARCCapUnitP8</f>
        <v>0</v>
      </c>
      <c r="E133" s="26" t="b">
        <v>0</v>
      </c>
    </row>
    <row r="134" spans="1:5" s="17" customFormat="1" ht="15.75" thickBot="1">
      <c r="A134" s="261"/>
      <c r="B134" s="262"/>
      <c r="C134" s="262"/>
      <c r="D134" s="297"/>
      <c r="E134" s="62" t="b">
        <v>0</v>
      </c>
    </row>
    <row r="135" spans="1:5" s="17" customFormat="1" ht="15">
      <c r="A135" s="19"/>
      <c r="B135" s="20"/>
      <c r="C135" s="22"/>
      <c r="D135" s="22">
        <f>JARCCapQuantity9*JARCCapUnitP9</f>
        <v>0</v>
      </c>
      <c r="E135" s="26" t="b">
        <v>0</v>
      </c>
    </row>
    <row r="136" spans="1:5" s="17" customFormat="1" ht="15.75" thickBot="1">
      <c r="A136" s="261"/>
      <c r="B136" s="262"/>
      <c r="C136" s="262"/>
      <c r="D136" s="297"/>
      <c r="E136" s="62" t="b">
        <v>0</v>
      </c>
    </row>
    <row r="137" spans="1:5" s="17" customFormat="1" ht="15">
      <c r="A137" s="19"/>
      <c r="B137" s="20"/>
      <c r="C137" s="22"/>
      <c r="D137" s="22">
        <f>JARCCapQuantity10*JARCCapUnitP10</f>
        <v>0</v>
      </c>
      <c r="E137" s="26" t="b">
        <v>0</v>
      </c>
    </row>
    <row r="138" spans="1:5" s="17" customFormat="1" ht="15.75" thickBot="1">
      <c r="A138" s="261"/>
      <c r="B138" s="262"/>
      <c r="C138" s="262"/>
      <c r="D138" s="297"/>
      <c r="E138" s="62" t="b">
        <v>0</v>
      </c>
    </row>
    <row r="139" spans="1:5" s="17" customFormat="1" ht="15">
      <c r="A139" s="244" t="s">
        <v>149</v>
      </c>
      <c r="B139" s="244"/>
      <c r="C139" s="244"/>
      <c r="D139" s="244"/>
      <c r="E139" s="64">
        <f>Summary!E80</f>
        <v>0</v>
      </c>
    </row>
    <row r="140" spans="1:5" s="17" customFormat="1" ht="15">
      <c r="A140" s="244" t="s">
        <v>150</v>
      </c>
      <c r="B140" s="244"/>
      <c r="C140" s="244"/>
      <c r="D140" s="244"/>
      <c r="E140" s="64">
        <f>Summary!E81</f>
        <v>0</v>
      </c>
    </row>
    <row r="141" spans="1:5" s="17" customFormat="1" ht="15">
      <c r="A141" s="244" t="s">
        <v>151</v>
      </c>
      <c r="B141" s="244"/>
      <c r="C141" s="244"/>
      <c r="D141" s="244"/>
      <c r="E141" s="64">
        <f>totalcapexp</f>
        <v>0</v>
      </c>
    </row>
    <row r="142" spans="1:5" s="25" customFormat="1" ht="15">
      <c r="A142" s="278" t="s">
        <v>136</v>
      </c>
      <c r="B142" s="279"/>
      <c r="C142" s="279"/>
      <c r="D142" s="279"/>
      <c r="E142" s="280"/>
    </row>
    <row r="143" spans="1:5" s="17" customFormat="1" ht="15">
      <c r="A143" s="46" t="s">
        <v>110</v>
      </c>
      <c r="B143" s="246" t="s">
        <v>115</v>
      </c>
      <c r="C143" s="246"/>
      <c r="D143"/>
      <c r="E143"/>
    </row>
    <row r="144" spans="1:5" s="17" customFormat="1" ht="15">
      <c r="A144" s="4"/>
      <c r="B144" s="247">
        <f>Summary!C85</f>
        <v>0</v>
      </c>
      <c r="C144" s="247"/>
      <c r="D144"/>
      <c r="E144"/>
    </row>
    <row r="145" spans="1:5" s="17" customFormat="1" ht="15">
      <c r="A145" s="4"/>
      <c r="B145" s="247">
        <f>Summary!C86</f>
        <v>0</v>
      </c>
      <c r="C145" s="247"/>
      <c r="D145"/>
      <c r="E145"/>
    </row>
    <row r="146" spans="1:5" s="17" customFormat="1" ht="15">
      <c r="A146" s="4"/>
      <c r="B146" s="247">
        <f>Summary!C87</f>
        <v>0</v>
      </c>
      <c r="C146" s="247"/>
      <c r="D146"/>
      <c r="E146"/>
    </row>
    <row r="147" spans="1:5" s="17" customFormat="1" ht="15">
      <c r="A147" s="4"/>
      <c r="B147" s="247">
        <f>Summary!C88</f>
        <v>0</v>
      </c>
      <c r="C147" s="247"/>
      <c r="D147"/>
      <c r="E147"/>
    </row>
    <row r="148" spans="1:5" s="17" customFormat="1" ht="15">
      <c r="A148" s="4"/>
      <c r="B148" s="247">
        <f>Summary!C89</f>
        <v>0</v>
      </c>
      <c r="C148" s="247"/>
      <c r="D148"/>
      <c r="E148"/>
    </row>
    <row r="149" spans="1:5" s="17" customFormat="1" ht="15">
      <c r="A149" s="4"/>
      <c r="B149" s="247">
        <f>Summary!C90</f>
        <v>0</v>
      </c>
      <c r="C149" s="247"/>
      <c r="D149"/>
      <c r="E149"/>
    </row>
    <row r="150" spans="1:5" s="17" customFormat="1" ht="15">
      <c r="A150" s="44"/>
      <c r="B150" s="247">
        <f>Summary!C91</f>
        <v>0</v>
      </c>
      <c r="C150" s="247"/>
      <c r="D150"/>
      <c r="E150"/>
    </row>
    <row r="151" spans="1:5" s="17" customFormat="1" ht="15">
      <c r="A151" s="44"/>
      <c r="B151" s="247">
        <f>Summary!C92</f>
        <v>0</v>
      </c>
      <c r="C151" s="247"/>
      <c r="D151"/>
      <c r="E151"/>
    </row>
    <row r="152" spans="1:5" s="17" customFormat="1" ht="15">
      <c r="A152" s="44"/>
      <c r="B152" s="247">
        <f>Summary!C93</f>
        <v>0</v>
      </c>
      <c r="C152" s="247"/>
      <c r="D152"/>
      <c r="E152"/>
    </row>
    <row r="153" spans="1:5" s="17" customFormat="1" ht="15">
      <c r="A153" s="44"/>
      <c r="B153" s="247">
        <f>Summary!C94</f>
        <v>0</v>
      </c>
      <c r="C153" s="247"/>
      <c r="D153"/>
      <c r="E153"/>
    </row>
    <row r="154" spans="1:5" s="17" customFormat="1" ht="15">
      <c r="A154" s="91"/>
      <c r="B154" s="40"/>
      <c r="C154" s="92"/>
      <c r="D154"/>
      <c r="E154"/>
    </row>
    <row r="155" spans="1:5" s="17" customFormat="1" ht="15">
      <c r="A155" s="91"/>
      <c r="B155" s="300"/>
      <c r="C155" s="300"/>
      <c r="D155" s="277"/>
      <c r="E155"/>
    </row>
    <row r="156" spans="1:5" s="17" customFormat="1" ht="15">
      <c r="A156" s="91"/>
      <c r="B156" s="83"/>
      <c r="C156" s="298"/>
      <c r="D156" s="299"/>
      <c r="E156"/>
    </row>
    <row r="157" spans="1:5" s="17" customFormat="1" ht="15">
      <c r="A157" s="91"/>
      <c r="B157" s="83"/>
      <c r="C157" s="298"/>
      <c r="D157" s="299"/>
      <c r="E157"/>
    </row>
    <row r="158" spans="1:5" s="17" customFormat="1" ht="15">
      <c r="A158" s="91"/>
      <c r="B158" s="83"/>
      <c r="C158" s="298"/>
      <c r="D158" s="299"/>
      <c r="E158"/>
    </row>
    <row r="159" spans="1:5" s="17" customFormat="1" ht="15">
      <c r="A159" s="91"/>
      <c r="B159" s="83"/>
      <c r="C159" s="298"/>
      <c r="D159" s="299"/>
      <c r="E159"/>
    </row>
    <row r="160" spans="1:5" s="17" customFormat="1" ht="15">
      <c r="A160" s="91"/>
      <c r="B160" s="83"/>
      <c r="C160" s="298"/>
      <c r="D160" s="299"/>
      <c r="E160"/>
    </row>
    <row r="161" spans="1:5" s="17" customFormat="1" ht="15">
      <c r="A161" s="91"/>
      <c r="B161" s="83"/>
      <c r="C161" s="298"/>
      <c r="D161" s="299"/>
      <c r="E161"/>
    </row>
    <row r="162" spans="1:5" s="17" customFormat="1" ht="15">
      <c r="A162" s="91"/>
      <c r="B162" s="83"/>
      <c r="C162" s="298"/>
      <c r="D162" s="299"/>
      <c r="E162"/>
    </row>
    <row r="163" spans="1:5" s="17" customFormat="1" ht="15">
      <c r="A163" s="91"/>
      <c r="B163" s="83"/>
      <c r="C163" s="298"/>
      <c r="D163" s="299"/>
      <c r="E163"/>
    </row>
    <row r="164" spans="1:5" s="17" customFormat="1" ht="15">
      <c r="A164" s="91"/>
      <c r="B164" s="83"/>
      <c r="C164" s="298"/>
      <c r="D164" s="299"/>
      <c r="E164"/>
    </row>
    <row r="165" spans="1:5" s="17" customFormat="1" ht="15">
      <c r="A165" s="250" t="s">
        <v>152</v>
      </c>
      <c r="B165" s="251"/>
      <c r="C165" s="66">
        <f>Summary!C105</f>
        <v>0</v>
      </c>
      <c r="D165"/>
      <c r="E165"/>
    </row>
    <row r="166" spans="1:5" s="25" customFormat="1" ht="15">
      <c r="A166" s="45" t="s">
        <v>137</v>
      </c>
      <c r="B166" s="313"/>
      <c r="C166" s="314"/>
      <c r="D166"/>
      <c r="E166"/>
    </row>
    <row r="167" spans="1:5" s="17" customFormat="1" ht="15">
      <c r="A167" s="43" t="s">
        <v>112</v>
      </c>
      <c r="B167" s="304" t="s">
        <v>113</v>
      </c>
      <c r="C167" s="305"/>
      <c r="D167"/>
      <c r="E167"/>
    </row>
    <row r="168" spans="1:5" s="17" customFormat="1" ht="15">
      <c r="A168" s="4"/>
      <c r="B168" s="295">
        <f>Summary!C108</f>
        <v>0</v>
      </c>
      <c r="C168" s="296"/>
      <c r="D168"/>
      <c r="E168"/>
    </row>
    <row r="169" spans="1:5" s="17" customFormat="1" ht="15">
      <c r="A169" s="4"/>
      <c r="B169" s="295">
        <f>Summary!C109</f>
        <v>0</v>
      </c>
      <c r="C169" s="296"/>
      <c r="D169"/>
      <c r="E169"/>
    </row>
    <row r="170" spans="1:5" s="17" customFormat="1" ht="15">
      <c r="A170" s="4"/>
      <c r="B170" s="295">
        <f>Summary!C110</f>
        <v>0</v>
      </c>
      <c r="C170" s="296"/>
      <c r="D170"/>
      <c r="E170"/>
    </row>
    <row r="171" spans="1:5" s="17" customFormat="1" ht="15">
      <c r="A171" s="4"/>
      <c r="B171" s="295">
        <f>Summary!C111</f>
        <v>0</v>
      </c>
      <c r="C171" s="296"/>
      <c r="D171"/>
      <c r="E171"/>
    </row>
    <row r="172" spans="1:5" s="17" customFormat="1" ht="15">
      <c r="A172" s="4"/>
      <c r="B172" s="295">
        <f>Summary!C112</f>
        <v>0</v>
      </c>
      <c r="C172" s="296"/>
      <c r="D172"/>
      <c r="E172"/>
    </row>
    <row r="173" spans="1:5" s="17" customFormat="1" ht="15">
      <c r="A173" s="4"/>
      <c r="B173" s="295">
        <f>Summary!C113</f>
        <v>0</v>
      </c>
      <c r="C173" s="296"/>
      <c r="D173"/>
      <c r="E173"/>
    </row>
    <row r="174" spans="1:5" s="17" customFormat="1" ht="15">
      <c r="A174" s="44"/>
      <c r="B174" s="247">
        <f>Summary!C114</f>
        <v>0</v>
      </c>
      <c r="C174" s="247"/>
      <c r="D174"/>
      <c r="E174"/>
    </row>
    <row r="175" spans="1:5" s="17" customFormat="1" ht="15">
      <c r="A175" s="44"/>
      <c r="B175" s="247">
        <f>Summary!C115</f>
        <v>0</v>
      </c>
      <c r="C175" s="247"/>
      <c r="D175"/>
      <c r="E175"/>
    </row>
    <row r="176" spans="1:5" s="17" customFormat="1" ht="15">
      <c r="A176" s="44"/>
      <c r="B176" s="247">
        <f>Summary!C116</f>
        <v>0</v>
      </c>
      <c r="C176" s="247"/>
      <c r="D176"/>
      <c r="E176"/>
    </row>
    <row r="177" spans="1:5" s="17" customFormat="1" ht="15">
      <c r="A177" s="44"/>
      <c r="B177" s="247">
        <f>Summary!C117</f>
        <v>0</v>
      </c>
      <c r="C177" s="247"/>
      <c r="D177"/>
      <c r="E177"/>
    </row>
    <row r="178" spans="1:5" s="17" customFormat="1" ht="15">
      <c r="A178" s="243" t="s">
        <v>153</v>
      </c>
      <c r="B178" s="243"/>
      <c r="C178" s="65">
        <f>Summary!C128</f>
        <v>0</v>
      </c>
      <c r="D178"/>
      <c r="E178"/>
    </row>
    <row r="179" spans="1:4" s="25" customFormat="1" ht="15">
      <c r="A179" s="42" t="s">
        <v>138</v>
      </c>
      <c r="B179" s="47"/>
      <c r="C179"/>
      <c r="D179"/>
    </row>
    <row r="180" spans="1:8" s="17" customFormat="1" ht="15">
      <c r="A180" s="37" t="s">
        <v>158</v>
      </c>
      <c r="B180" s="290" t="b">
        <v>0</v>
      </c>
      <c r="C180" s="290"/>
      <c r="D180"/>
      <c r="E180" s="24"/>
      <c r="F180" s="24"/>
      <c r="G180" s="24"/>
      <c r="H180" s="24"/>
    </row>
    <row r="181" spans="1:8" s="17" customFormat="1" ht="15">
      <c r="A181" s="37" t="s">
        <v>159</v>
      </c>
      <c r="B181" s="257" t="b">
        <v>1</v>
      </c>
      <c r="C181" s="258"/>
      <c r="D181"/>
      <c r="E181" s="24"/>
      <c r="F181" s="24"/>
      <c r="G181" s="24"/>
      <c r="H181" s="24"/>
    </row>
    <row r="182" spans="1:4" s="17" customFormat="1" ht="15">
      <c r="A182" s="37" t="s">
        <v>117</v>
      </c>
      <c r="B182" s="291"/>
      <c r="C182" s="291"/>
      <c r="D182" s="291"/>
    </row>
    <row r="183" spans="1:4" s="17" customFormat="1" ht="15">
      <c r="A183" s="292" t="s">
        <v>114</v>
      </c>
      <c r="B183" s="293"/>
      <c r="C183" s="293"/>
      <c r="D183" s="294"/>
    </row>
    <row r="184" spans="1:4" s="17" customFormat="1" ht="15">
      <c r="A184" s="41" t="s">
        <v>116</v>
      </c>
      <c r="B184" s="246" t="s">
        <v>115</v>
      </c>
      <c r="C184" s="246"/>
      <c r="D184"/>
    </row>
    <row r="185" spans="1:4" s="17" customFormat="1" ht="15">
      <c r="A185" s="37">
        <f aca="true" t="shared" si="0" ref="A185:A194">JARCBeyondSource1</f>
        <v>0</v>
      </c>
      <c r="B185" s="247">
        <f aca="true" t="shared" si="1" ref="B185:B194">JARCBeyondAmount1</f>
        <v>0</v>
      </c>
      <c r="C185" s="247"/>
      <c r="D185"/>
    </row>
    <row r="186" spans="1:4" s="17" customFormat="1" ht="15">
      <c r="A186" s="37">
        <f t="shared" si="0"/>
        <v>0</v>
      </c>
      <c r="B186" s="247">
        <f t="shared" si="1"/>
        <v>0</v>
      </c>
      <c r="C186" s="247"/>
      <c r="D186"/>
    </row>
    <row r="187" spans="1:4" s="17" customFormat="1" ht="15">
      <c r="A187" s="37">
        <f t="shared" si="0"/>
        <v>0</v>
      </c>
      <c r="B187" s="247">
        <f t="shared" si="1"/>
        <v>0</v>
      </c>
      <c r="C187" s="247"/>
      <c r="D187"/>
    </row>
    <row r="188" spans="1:4" s="17" customFormat="1" ht="15">
      <c r="A188" s="37">
        <f t="shared" si="0"/>
        <v>0</v>
      </c>
      <c r="B188" s="247">
        <f t="shared" si="1"/>
        <v>0</v>
      </c>
      <c r="C188" s="247"/>
      <c r="D188"/>
    </row>
    <row r="189" spans="1:4" s="17" customFormat="1" ht="15">
      <c r="A189" s="37">
        <f t="shared" si="0"/>
        <v>0</v>
      </c>
      <c r="B189" s="247">
        <f t="shared" si="1"/>
        <v>0</v>
      </c>
      <c r="C189" s="247"/>
      <c r="D189"/>
    </row>
    <row r="190" spans="1:4" s="17" customFormat="1" ht="15">
      <c r="A190" s="37">
        <f t="shared" si="0"/>
        <v>0</v>
      </c>
      <c r="B190" s="247">
        <f t="shared" si="1"/>
        <v>0</v>
      </c>
      <c r="C190" s="247"/>
      <c r="D190"/>
    </row>
    <row r="191" spans="1:4" s="17" customFormat="1" ht="15">
      <c r="A191" s="37">
        <f t="shared" si="0"/>
        <v>0</v>
      </c>
      <c r="B191" s="247">
        <f t="shared" si="1"/>
        <v>0</v>
      </c>
      <c r="C191" s="247"/>
      <c r="D191"/>
    </row>
    <row r="192" spans="1:4" s="17" customFormat="1" ht="15">
      <c r="A192" s="37">
        <f t="shared" si="0"/>
        <v>0</v>
      </c>
      <c r="B192" s="247">
        <f t="shared" si="1"/>
        <v>0</v>
      </c>
      <c r="C192" s="247"/>
      <c r="D192"/>
    </row>
    <row r="193" spans="1:4" s="17" customFormat="1" ht="15">
      <c r="A193" s="37">
        <f t="shared" si="0"/>
        <v>0</v>
      </c>
      <c r="B193" s="247">
        <f t="shared" si="1"/>
        <v>0</v>
      </c>
      <c r="C193" s="247"/>
      <c r="D193"/>
    </row>
    <row r="194" spans="1:4" s="17" customFormat="1" ht="15.75" thickBot="1">
      <c r="A194" s="37">
        <f t="shared" si="0"/>
        <v>0</v>
      </c>
      <c r="B194" s="247">
        <f t="shared" si="1"/>
        <v>0</v>
      </c>
      <c r="C194" s="247"/>
      <c r="D194"/>
    </row>
    <row r="195" spans="1:4" s="17" customFormat="1" ht="15.75" thickBot="1">
      <c r="A195" s="284" t="s">
        <v>139</v>
      </c>
      <c r="B195" s="285"/>
      <c r="C195" s="285"/>
      <c r="D195" s="286"/>
    </row>
    <row r="196" spans="1:4" s="23" customFormat="1" ht="15">
      <c r="A196" s="287" t="s">
        <v>142</v>
      </c>
      <c r="B196" s="288"/>
      <c r="C196" s="288"/>
      <c r="D196" s="289"/>
    </row>
    <row r="197" spans="1:256" s="23" customFormat="1" ht="15">
      <c r="A197" s="38" t="s">
        <v>140</v>
      </c>
      <c r="B197" s="35" t="s">
        <v>141</v>
      </c>
      <c r="C197" s="51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  <c r="HM197" s="34"/>
      <c r="HN197" s="34"/>
      <c r="HO197" s="34"/>
      <c r="HP197" s="34"/>
      <c r="HQ197" s="34"/>
      <c r="HR197" s="34"/>
      <c r="HS197" s="34"/>
      <c r="HT197" s="34"/>
      <c r="HU197" s="34"/>
      <c r="HV197" s="34"/>
      <c r="HW197" s="34"/>
      <c r="HX197" s="34"/>
      <c r="HY197" s="34"/>
      <c r="HZ197" s="34"/>
      <c r="IA197" s="34"/>
      <c r="IB197" s="34"/>
      <c r="IC197" s="34"/>
      <c r="ID197" s="34"/>
      <c r="IE197" s="34"/>
      <c r="IF197" s="34"/>
      <c r="IG197" s="34"/>
      <c r="IH197" s="34"/>
      <c r="II197" s="34"/>
      <c r="IJ197" s="34"/>
      <c r="IK197" s="34"/>
      <c r="IL197" s="34"/>
      <c r="IM197" s="34"/>
      <c r="IN197" s="34"/>
      <c r="IO197" s="34"/>
      <c r="IP197" s="34"/>
      <c r="IQ197" s="34"/>
      <c r="IR197" s="34"/>
      <c r="IS197" s="34"/>
      <c r="IT197" s="34"/>
      <c r="IU197" s="34"/>
      <c r="IV197" s="34"/>
    </row>
    <row r="198" spans="1:3" s="17" customFormat="1" ht="15">
      <c r="A198" s="37" t="s">
        <v>118</v>
      </c>
      <c r="B198" s="48">
        <f>JARCVoucherExpenses</f>
        <v>0</v>
      </c>
      <c r="C198" s="49" t="b">
        <v>0</v>
      </c>
    </row>
    <row r="199" spans="1:6" s="17" customFormat="1" ht="15.75" thickBot="1">
      <c r="A199" s="261"/>
      <c r="B199" s="262"/>
      <c r="C199" s="62" t="b">
        <v>0</v>
      </c>
      <c r="D199"/>
      <c r="E199"/>
      <c r="F199"/>
    </row>
    <row r="200" spans="1:3" s="17" customFormat="1" ht="15">
      <c r="A200" s="37" t="s">
        <v>119</v>
      </c>
      <c r="B200" s="22">
        <f>JARCCostsDriver</f>
        <v>0</v>
      </c>
      <c r="C200" s="22" t="b">
        <v>0</v>
      </c>
    </row>
    <row r="201" spans="1:6" s="17" customFormat="1" ht="15.75" thickBot="1">
      <c r="A201" s="261"/>
      <c r="B201" s="262"/>
      <c r="C201" s="62" t="b">
        <v>0</v>
      </c>
      <c r="D201"/>
      <c r="E201"/>
      <c r="F201"/>
    </row>
    <row r="202" spans="1:3" s="17" customFormat="1" ht="15">
      <c r="A202" s="37" t="s">
        <v>124</v>
      </c>
      <c r="B202" s="22">
        <f>Summary!B150</f>
        <v>0</v>
      </c>
      <c r="C202" s="22" t="b">
        <v>0</v>
      </c>
    </row>
    <row r="203" spans="1:6" s="17" customFormat="1" ht="15.75" thickBot="1">
      <c r="A203" s="261"/>
      <c r="B203" s="262"/>
      <c r="C203" s="62" t="b">
        <v>0</v>
      </c>
      <c r="D203"/>
      <c r="E203"/>
      <c r="F203"/>
    </row>
    <row r="204" spans="1:3" s="17" customFormat="1" ht="15">
      <c r="A204" s="67" t="s">
        <v>125</v>
      </c>
      <c r="B204" s="68">
        <f>JARCPersonnelSalary</f>
        <v>0</v>
      </c>
      <c r="C204" s="22"/>
    </row>
    <row r="205" spans="1:6" s="17" customFormat="1" ht="15.75" thickBot="1">
      <c r="A205" s="259"/>
      <c r="B205" s="260"/>
      <c r="C205" s="62"/>
      <c r="D205"/>
      <c r="E205"/>
      <c r="F205"/>
    </row>
    <row r="206" spans="1:3" s="17" customFormat="1" ht="15">
      <c r="A206" s="67" t="s">
        <v>126</v>
      </c>
      <c r="B206" s="68">
        <f>JARCPersonnelFringe</f>
        <v>0</v>
      </c>
      <c r="C206" s="22"/>
    </row>
    <row r="207" spans="1:6" s="17" customFormat="1" ht="15.75" thickBot="1">
      <c r="A207" s="259"/>
      <c r="B207" s="260"/>
      <c r="C207" s="62"/>
      <c r="D207"/>
      <c r="E207"/>
      <c r="F207"/>
    </row>
    <row r="208" spans="1:3" s="17" customFormat="1" ht="15">
      <c r="A208" s="67" t="s">
        <v>127</v>
      </c>
      <c r="B208" s="68">
        <f>JARCPersonnelBenefits</f>
        <v>0</v>
      </c>
      <c r="C208" s="22"/>
    </row>
    <row r="209" spans="1:6" s="17" customFormat="1" ht="15.75" thickBot="1">
      <c r="A209" s="261"/>
      <c r="B209" s="262"/>
      <c r="C209" s="62"/>
      <c r="D209"/>
      <c r="E209"/>
      <c r="F209"/>
    </row>
    <row r="210" spans="1:3" s="17" customFormat="1" ht="15">
      <c r="A210" s="37"/>
      <c r="B210" s="22">
        <f>JARCPersonnelOther1</f>
        <v>0</v>
      </c>
      <c r="C210" s="22"/>
    </row>
    <row r="211" spans="1:6" s="17" customFormat="1" ht="15.75" thickBot="1">
      <c r="A211" s="261"/>
      <c r="B211" s="262"/>
      <c r="C211" s="62"/>
      <c r="D211"/>
      <c r="E211"/>
      <c r="F211"/>
    </row>
    <row r="212" spans="1:3" s="17" customFormat="1" ht="15">
      <c r="A212" s="37"/>
      <c r="B212" s="22">
        <f>JARCPersonnelOther2</f>
        <v>0</v>
      </c>
      <c r="C212" s="22"/>
    </row>
    <row r="213" spans="1:6" s="17" customFormat="1" ht="15.75" thickBot="1">
      <c r="A213" s="261"/>
      <c r="B213" s="262"/>
      <c r="C213" s="62"/>
      <c r="D213"/>
      <c r="E213"/>
      <c r="F213"/>
    </row>
    <row r="214" spans="1:4" s="17" customFormat="1" ht="15">
      <c r="A214" s="278" t="s">
        <v>143</v>
      </c>
      <c r="B214" s="279"/>
      <c r="C214" s="279"/>
      <c r="D214" s="280"/>
    </row>
    <row r="215" spans="1:4" s="17" customFormat="1" ht="15">
      <c r="A215" s="44" t="s">
        <v>120</v>
      </c>
      <c r="B215" s="39">
        <v>22</v>
      </c>
      <c r="C215" s="40" t="b">
        <v>0</v>
      </c>
      <c r="D215"/>
    </row>
    <row r="216" spans="1:6" s="17" customFormat="1" ht="15.75" thickBot="1">
      <c r="A216" s="259"/>
      <c r="B216" s="260"/>
      <c r="C216" s="62" t="b">
        <v>0</v>
      </c>
      <c r="D216"/>
      <c r="E216"/>
      <c r="F216"/>
    </row>
    <row r="217" spans="1:4" s="17" customFormat="1" ht="15">
      <c r="A217" s="44" t="s">
        <v>121</v>
      </c>
      <c r="B217" s="69"/>
      <c r="C217" s="70" t="b">
        <v>0</v>
      </c>
      <c r="D217"/>
    </row>
    <row r="218" spans="1:6" s="17" customFormat="1" ht="15.75" thickBot="1">
      <c r="A218" s="259"/>
      <c r="B218" s="260"/>
      <c r="C218" s="62" t="b">
        <v>0</v>
      </c>
      <c r="D218"/>
      <c r="E218"/>
      <c r="F218"/>
    </row>
    <row r="219" spans="1:4" s="17" customFormat="1" ht="15">
      <c r="A219" s="44" t="s">
        <v>122</v>
      </c>
      <c r="B219" s="69"/>
      <c r="C219" s="70" t="b">
        <v>0</v>
      </c>
      <c r="D219"/>
    </row>
    <row r="220" spans="1:6" s="17" customFormat="1" ht="15.75" thickBot="1">
      <c r="A220" s="259"/>
      <c r="B220" s="260"/>
      <c r="C220" s="62" t="b">
        <v>0</v>
      </c>
      <c r="D220"/>
      <c r="E220"/>
      <c r="F220"/>
    </row>
    <row r="221" spans="1:4" s="17" customFormat="1" ht="15">
      <c r="A221" s="44" t="s">
        <v>123</v>
      </c>
      <c r="B221" s="69"/>
      <c r="C221" s="70" t="b">
        <v>0</v>
      </c>
      <c r="D221"/>
    </row>
    <row r="222" spans="1:6" s="17" customFormat="1" ht="15.75" thickBot="1">
      <c r="A222" s="259"/>
      <c r="B222" s="260"/>
      <c r="C222" s="62" t="b">
        <v>0</v>
      </c>
      <c r="D222"/>
      <c r="E222"/>
      <c r="F222"/>
    </row>
    <row r="223" spans="1:4" s="17" customFormat="1" ht="15">
      <c r="A223" s="44"/>
      <c r="B223" s="69"/>
      <c r="C223" s="70" t="b">
        <v>0</v>
      </c>
      <c r="D223"/>
    </row>
    <row r="224" spans="1:6" s="17" customFormat="1" ht="15.75" thickBot="1">
      <c r="A224" s="259"/>
      <c r="B224" s="260"/>
      <c r="C224" s="62" t="b">
        <v>0</v>
      </c>
      <c r="D224"/>
      <c r="E224"/>
      <c r="F224"/>
    </row>
    <row r="225" spans="1:4" s="17" customFormat="1" ht="15">
      <c r="A225" s="26"/>
      <c r="B225" s="69"/>
      <c r="C225" s="70" t="b">
        <v>0</v>
      </c>
      <c r="D225"/>
    </row>
    <row r="226" spans="1:6" s="17" customFormat="1" ht="15.75" thickBot="1">
      <c r="A226" s="259"/>
      <c r="B226" s="260"/>
      <c r="C226" s="62" t="b">
        <v>0</v>
      </c>
      <c r="D226"/>
      <c r="E226"/>
      <c r="F226"/>
    </row>
    <row r="227" spans="1:4" s="17" customFormat="1" ht="15">
      <c r="A227" s="44"/>
      <c r="B227" s="69"/>
      <c r="C227" s="70" t="b">
        <v>0</v>
      </c>
      <c r="D227"/>
    </row>
    <row r="228" spans="1:6" s="17" customFormat="1" ht="15.75" thickBot="1">
      <c r="A228" s="259"/>
      <c r="B228" s="260"/>
      <c r="C228" s="62" t="b">
        <v>0</v>
      </c>
      <c r="D228"/>
      <c r="E228"/>
      <c r="F228"/>
    </row>
    <row r="229" spans="1:4" s="17" customFormat="1" ht="15">
      <c r="A229" s="44"/>
      <c r="B229" s="69"/>
      <c r="C229" s="70" t="b">
        <v>0</v>
      </c>
      <c r="D229"/>
    </row>
    <row r="230" spans="1:6" s="17" customFormat="1" ht="15.75" thickBot="1">
      <c r="A230" s="259"/>
      <c r="B230" s="260"/>
      <c r="C230" s="62" t="b">
        <v>0</v>
      </c>
      <c r="D230"/>
      <c r="E230"/>
      <c r="F230"/>
    </row>
    <row r="231" spans="1:4" s="17" customFormat="1" ht="15">
      <c r="A231" s="44"/>
      <c r="B231" s="69"/>
      <c r="C231" s="70" t="b">
        <v>0</v>
      </c>
      <c r="D231"/>
    </row>
    <row r="232" spans="1:6" s="17" customFormat="1" ht="15.75" thickBot="1">
      <c r="A232" s="259"/>
      <c r="B232" s="260"/>
      <c r="C232" s="62" t="b">
        <v>0</v>
      </c>
      <c r="D232"/>
      <c r="E232"/>
      <c r="F232"/>
    </row>
    <row r="233" spans="1:4" s="17" customFormat="1" ht="15">
      <c r="A233" s="250" t="s">
        <v>154</v>
      </c>
      <c r="B233" s="251"/>
      <c r="C233" s="64">
        <f>Summary!E167</f>
        <v>0</v>
      </c>
      <c r="D233"/>
    </row>
    <row r="234" spans="1:4" s="17" customFormat="1" ht="15">
      <c r="A234" s="250" t="s">
        <v>156</v>
      </c>
      <c r="B234" s="251"/>
      <c r="C234" s="64">
        <f>Summary!E168</f>
        <v>0</v>
      </c>
      <c r="D234"/>
    </row>
    <row r="235" spans="1:4" s="17" customFormat="1" ht="15">
      <c r="A235" s="250" t="s">
        <v>155</v>
      </c>
      <c r="B235" s="251"/>
      <c r="C235" s="64">
        <f>SUM(B206:B208)</f>
        <v>0</v>
      </c>
      <c r="D235"/>
    </row>
    <row r="236" spans="1:4" s="17" customFormat="1" ht="15">
      <c r="A236" s="282" t="s">
        <v>144</v>
      </c>
      <c r="B236" s="283"/>
      <c r="C236" s="283"/>
      <c r="D236"/>
    </row>
    <row r="237" spans="1:4" s="17" customFormat="1" ht="15">
      <c r="A237" s="44" t="str">
        <f>Summary!A172</f>
        <v>Fare Revenue</v>
      </c>
      <c r="B237" s="276">
        <f>Summary!B172</f>
        <v>0</v>
      </c>
      <c r="C237" s="277"/>
      <c r="D237"/>
    </row>
    <row r="238" spans="1:4" s="17" customFormat="1" ht="15">
      <c r="A238" s="44">
        <f>Summary!A173</f>
        <v>0</v>
      </c>
      <c r="B238" s="276">
        <f>Summary!B173</f>
        <v>0</v>
      </c>
      <c r="C238" s="277"/>
      <c r="D238"/>
    </row>
    <row r="239" spans="1:4" s="17" customFormat="1" ht="15">
      <c r="A239" s="44">
        <f>Summary!A174</f>
        <v>0</v>
      </c>
      <c r="B239" s="276">
        <f>Summary!B174</f>
        <v>0</v>
      </c>
      <c r="C239" s="277"/>
      <c r="D239"/>
    </row>
    <row r="240" spans="1:4" s="17" customFormat="1" ht="15">
      <c r="A240" s="44">
        <f>Summary!A175</f>
        <v>0</v>
      </c>
      <c r="B240" s="276">
        <f>Summary!B175</f>
        <v>0</v>
      </c>
      <c r="C240" s="277"/>
      <c r="D240"/>
    </row>
    <row r="241" spans="1:4" s="17" customFormat="1" ht="15">
      <c r="A241" s="44">
        <f>Summary!A176</f>
        <v>0</v>
      </c>
      <c r="B241" s="276">
        <f>Summary!B176</f>
        <v>0</v>
      </c>
      <c r="C241" s="277"/>
      <c r="D241"/>
    </row>
    <row r="242" spans="1:4" s="17" customFormat="1" ht="15">
      <c r="A242" s="44">
        <f>Summary!A177</f>
        <v>0</v>
      </c>
      <c r="B242" s="276">
        <f>Summary!B177</f>
        <v>0</v>
      </c>
      <c r="C242" s="277"/>
      <c r="D242"/>
    </row>
    <row r="243" spans="1:4" s="17" customFormat="1" ht="15">
      <c r="A243" s="44">
        <f>Summary!A178</f>
        <v>0</v>
      </c>
      <c r="B243" s="276">
        <f>Summary!B178</f>
        <v>0</v>
      </c>
      <c r="C243" s="277"/>
      <c r="D243"/>
    </row>
    <row r="244" spans="1:4" s="17" customFormat="1" ht="15">
      <c r="A244" s="44">
        <f>Summary!A179</f>
        <v>0</v>
      </c>
      <c r="B244" s="276">
        <f>Summary!B179</f>
        <v>0</v>
      </c>
      <c r="C244" s="277"/>
      <c r="D244"/>
    </row>
    <row r="245" spans="1:4" s="17" customFormat="1" ht="15">
      <c r="A245" s="44">
        <f>Summary!A180</f>
        <v>0</v>
      </c>
      <c r="B245" s="276">
        <f>Summary!B180</f>
        <v>0</v>
      </c>
      <c r="C245" s="277"/>
      <c r="D245"/>
    </row>
    <row r="246" spans="1:4" s="17" customFormat="1" ht="15">
      <c r="A246" s="44">
        <f>Summary!A181</f>
        <v>0</v>
      </c>
      <c r="B246" s="276">
        <f>Summary!B181</f>
        <v>0</v>
      </c>
      <c r="C246" s="277"/>
      <c r="D246"/>
    </row>
    <row r="247" spans="1:4" s="17" customFormat="1" ht="15">
      <c r="A247" s="44">
        <f>Summary!A182</f>
        <v>0</v>
      </c>
      <c r="B247" s="276">
        <f>Summary!B182</f>
        <v>0</v>
      </c>
      <c r="C247" s="277"/>
      <c r="D247"/>
    </row>
    <row r="248" spans="1:4" s="25" customFormat="1" ht="15">
      <c r="A248" s="278" t="s">
        <v>145</v>
      </c>
      <c r="B248" s="279"/>
      <c r="C248" s="279"/>
      <c r="D248" s="280"/>
    </row>
    <row r="249" spans="1:4" s="17" customFormat="1" ht="15">
      <c r="A249" s="43" t="s">
        <v>110</v>
      </c>
      <c r="B249" s="281" t="s">
        <v>111</v>
      </c>
      <c r="C249" s="281"/>
      <c r="D249"/>
    </row>
    <row r="250" spans="1:4" s="17" customFormat="1" ht="15">
      <c r="A250" s="4" t="e">
        <f>JARCOpLocalSource1</f>
        <v>#NAME?</v>
      </c>
      <c r="B250" s="257" t="e">
        <f>Summary!#REF!</f>
        <v>#REF!</v>
      </c>
      <c r="C250" s="258"/>
      <c r="D250"/>
    </row>
    <row r="251" spans="1:4" s="17" customFormat="1" ht="15">
      <c r="A251" s="4" t="e">
        <f>JARCOpLocalSource2</f>
        <v>#NAME?</v>
      </c>
      <c r="B251" s="257">
        <f>Summary!B187</f>
        <v>0</v>
      </c>
      <c r="C251" s="258"/>
      <c r="D251"/>
    </row>
    <row r="252" spans="1:4" s="17" customFormat="1" ht="15">
      <c r="A252" s="4" t="e">
        <f>JARCOpLocalSource3</f>
        <v>#NAME?</v>
      </c>
      <c r="B252" s="257">
        <f>Summary!B188</f>
        <v>0</v>
      </c>
      <c r="C252" s="258"/>
      <c r="D252"/>
    </row>
    <row r="253" spans="1:4" s="17" customFormat="1" ht="15">
      <c r="A253" s="4" t="e">
        <f>JARCOpLocalSource4</f>
        <v>#NAME?</v>
      </c>
      <c r="B253" s="257">
        <f>Summary!B189</f>
        <v>0</v>
      </c>
      <c r="C253" s="258"/>
      <c r="D253"/>
    </row>
    <row r="254" spans="1:4" s="17" customFormat="1" ht="15">
      <c r="A254" s="4" t="e">
        <f>JARCOpLocalSource5</f>
        <v>#NAME?</v>
      </c>
      <c r="B254" s="257">
        <f>Summary!B190</f>
        <v>0</v>
      </c>
      <c r="C254" s="258"/>
      <c r="D254"/>
    </row>
    <row r="255" spans="1:4" s="17" customFormat="1" ht="15">
      <c r="A255" s="4" t="e">
        <f>JARCOpLocalSource6</f>
        <v>#NAME?</v>
      </c>
      <c r="B255" s="257">
        <f>Summary!B191</f>
        <v>0</v>
      </c>
      <c r="C255" s="258"/>
      <c r="D255"/>
    </row>
    <row r="256" spans="1:4" s="17" customFormat="1" ht="15">
      <c r="A256" s="44" t="e">
        <f>JARCOpLocalSource7</f>
        <v>#NAME?</v>
      </c>
      <c r="B256" s="257">
        <f>Summary!B192</f>
        <v>0</v>
      </c>
      <c r="C256" s="258"/>
      <c r="D256"/>
    </row>
    <row r="257" spans="1:4" s="17" customFormat="1" ht="15">
      <c r="A257" s="50" t="e">
        <f>JARCOpLocalSource8</f>
        <v>#NAME?</v>
      </c>
      <c r="B257" s="257">
        <f>Summary!B193</f>
        <v>0</v>
      </c>
      <c r="C257" s="258"/>
      <c r="D257"/>
    </row>
    <row r="258" spans="1:4" s="17" customFormat="1" ht="15">
      <c r="A258" s="44" t="e">
        <f>JARCOpLocalSource9</f>
        <v>#NAME?</v>
      </c>
      <c r="B258" s="257">
        <f>Summary!B194</f>
        <v>0</v>
      </c>
      <c r="C258" s="258"/>
      <c r="D258"/>
    </row>
    <row r="259" spans="1:4" s="17" customFormat="1" ht="15">
      <c r="A259" s="44" t="e">
        <f>JARCOpLocalSource10</f>
        <v>#NAME?</v>
      </c>
      <c r="B259" s="257">
        <f>Summary!B195</f>
        <v>0</v>
      </c>
      <c r="C259" s="258"/>
      <c r="D259"/>
    </row>
    <row r="260" spans="1:5" s="17" customFormat="1" ht="15">
      <c r="A260" s="250" t="s">
        <v>152</v>
      </c>
      <c r="B260" s="251"/>
      <c r="C260" s="66">
        <f>Summary!C206</f>
        <v>0</v>
      </c>
      <c r="D260"/>
      <c r="E260"/>
    </row>
    <row r="261" spans="1:4" s="25" customFormat="1" ht="15">
      <c r="A261" s="245" t="s">
        <v>146</v>
      </c>
      <c r="B261" s="245"/>
      <c r="C261" s="245"/>
      <c r="D261" s="245"/>
    </row>
    <row r="262" spans="1:5" s="17" customFormat="1" ht="15">
      <c r="A262" s="41" t="s">
        <v>129</v>
      </c>
      <c r="B262" s="246" t="s">
        <v>113</v>
      </c>
      <c r="C262" s="246"/>
      <c r="D262"/>
      <c r="E262"/>
    </row>
    <row r="263" spans="1:5" s="17" customFormat="1" ht="15">
      <c r="A263" s="37" t="e">
        <f>JARCOpMatchSource1</f>
        <v>#NAME?</v>
      </c>
      <c r="B263" s="247">
        <f>Summary!B209</f>
        <v>0</v>
      </c>
      <c r="C263" s="247"/>
      <c r="D263"/>
      <c r="E263"/>
    </row>
    <row r="264" spans="1:5" s="17" customFormat="1" ht="15">
      <c r="A264" s="37" t="e">
        <f>JARCOpMatchSource2</f>
        <v>#NAME?</v>
      </c>
      <c r="B264" s="247">
        <f>Summary!B210</f>
        <v>0</v>
      </c>
      <c r="C264" s="247"/>
      <c r="D264"/>
      <c r="E264"/>
    </row>
    <row r="265" spans="1:5" s="17" customFormat="1" ht="15">
      <c r="A265" s="37" t="e">
        <f>JARCOpMatchSource3</f>
        <v>#NAME?</v>
      </c>
      <c r="B265" s="247">
        <f>Summary!B211</f>
        <v>0</v>
      </c>
      <c r="C265" s="247"/>
      <c r="D265"/>
      <c r="E265"/>
    </row>
    <row r="266" spans="1:5" s="17" customFormat="1" ht="15">
      <c r="A266" s="37" t="e">
        <f>JARCOpMatchSource4</f>
        <v>#NAME?</v>
      </c>
      <c r="B266" s="247">
        <f>Summary!B212</f>
        <v>0</v>
      </c>
      <c r="C266" s="247"/>
      <c r="D266"/>
      <c r="E266"/>
    </row>
    <row r="267" spans="1:5" s="17" customFormat="1" ht="15">
      <c r="A267" s="37" t="e">
        <f>JARCOpMatchSource5</f>
        <v>#NAME?</v>
      </c>
      <c r="B267" s="247">
        <f>Summary!B213</f>
        <v>0</v>
      </c>
      <c r="C267" s="247"/>
      <c r="D267"/>
      <c r="E267"/>
    </row>
    <row r="268" spans="1:5" s="17" customFormat="1" ht="15">
      <c r="A268" s="37" t="e">
        <f>JARCOpMatchSource6</f>
        <v>#NAME?</v>
      </c>
      <c r="B268" s="247">
        <f>Summary!B214</f>
        <v>0</v>
      </c>
      <c r="C268" s="247"/>
      <c r="D268"/>
      <c r="E268"/>
    </row>
    <row r="269" spans="1:5" s="17" customFormat="1" ht="15">
      <c r="A269" s="37" t="e">
        <f>JARCOpMatchSource7</f>
        <v>#NAME?</v>
      </c>
      <c r="B269" s="247">
        <f>Summary!B215</f>
        <v>0</v>
      </c>
      <c r="C269" s="247"/>
      <c r="D269"/>
      <c r="E269"/>
    </row>
    <row r="270" spans="1:5" s="17" customFormat="1" ht="15">
      <c r="A270" s="37" t="e">
        <f>JARCOpMatchSource8</f>
        <v>#NAME?</v>
      </c>
      <c r="B270" s="247">
        <f>Summary!B216</f>
        <v>0</v>
      </c>
      <c r="C270" s="247"/>
      <c r="D270"/>
      <c r="E270"/>
    </row>
    <row r="271" spans="1:5" s="17" customFormat="1" ht="15">
      <c r="A271" s="37" t="e">
        <f>JARCOpMatchSource9</f>
        <v>#NAME?</v>
      </c>
      <c r="B271" s="247">
        <f>Summary!B217</f>
        <v>0</v>
      </c>
      <c r="C271" s="247"/>
      <c r="D271"/>
      <c r="E271"/>
    </row>
    <row r="272" spans="1:5" s="17" customFormat="1" ht="15">
      <c r="A272" s="37" t="e">
        <f>JARCOpMatchSource10</f>
        <v>#NAME?</v>
      </c>
      <c r="B272" s="247">
        <f>Summary!B218</f>
        <v>0</v>
      </c>
      <c r="C272" s="247"/>
      <c r="D272"/>
      <c r="E272"/>
    </row>
    <row r="273" spans="1:5" s="17" customFormat="1" ht="15">
      <c r="A273" s="37" t="e">
        <f>JARCOpMatchSource1</f>
        <v>#NAME?</v>
      </c>
      <c r="B273" s="247">
        <f>Summary!B229</f>
        <v>0</v>
      </c>
      <c r="C273" s="247"/>
      <c r="D273"/>
      <c r="E273"/>
    </row>
    <row r="274" spans="1:5" s="17" customFormat="1" ht="15">
      <c r="A274" s="37" t="e">
        <f>JARCOpMatchSource2</f>
        <v>#NAME?</v>
      </c>
      <c r="B274" s="247">
        <f>Summary!B230</f>
        <v>0</v>
      </c>
      <c r="C274" s="247"/>
      <c r="D274"/>
      <c r="E274"/>
    </row>
    <row r="275" spans="1:5" s="17" customFormat="1" ht="15">
      <c r="A275" s="37" t="e">
        <f>JARCOpMatchSource3</f>
        <v>#NAME?</v>
      </c>
      <c r="B275" s="247">
        <f>Summary!B231</f>
        <v>0</v>
      </c>
      <c r="C275" s="247"/>
      <c r="D275"/>
      <c r="E275"/>
    </row>
    <row r="276" spans="1:5" s="17" customFormat="1" ht="15">
      <c r="A276" s="37" t="e">
        <f>JARCOpMatchSource4</f>
        <v>#NAME?</v>
      </c>
      <c r="B276" s="247">
        <f>Summary!B232</f>
        <v>0</v>
      </c>
      <c r="C276" s="247"/>
      <c r="D276"/>
      <c r="E276"/>
    </row>
    <row r="277" spans="1:5" s="17" customFormat="1" ht="15">
      <c r="A277" s="37" t="e">
        <f>JARCOpMatchSource5</f>
        <v>#NAME?</v>
      </c>
      <c r="B277" s="247">
        <f>Summary!B233</f>
        <v>0</v>
      </c>
      <c r="C277" s="247"/>
      <c r="D277"/>
      <c r="E277"/>
    </row>
    <row r="278" spans="1:5" s="17" customFormat="1" ht="15">
      <c r="A278" s="37" t="e">
        <f>JARCOpMatchSource6</f>
        <v>#NAME?</v>
      </c>
      <c r="B278" s="247">
        <f>Summary!B234</f>
        <v>0</v>
      </c>
      <c r="C278" s="247"/>
      <c r="D278"/>
      <c r="E278"/>
    </row>
    <row r="279" spans="1:5" s="17" customFormat="1" ht="15">
      <c r="A279" s="37" t="e">
        <f>JARCOpMatchSource7</f>
        <v>#NAME?</v>
      </c>
      <c r="B279" s="247">
        <f>Summary!B235</f>
        <v>0</v>
      </c>
      <c r="C279" s="247"/>
      <c r="D279"/>
      <c r="E279"/>
    </row>
    <row r="280" spans="1:5" s="17" customFormat="1" ht="15">
      <c r="A280" s="37" t="e">
        <f>JARCOpMatchSource8</f>
        <v>#NAME?</v>
      </c>
      <c r="B280" s="247">
        <f>Summary!B236</f>
        <v>0</v>
      </c>
      <c r="C280" s="247"/>
      <c r="D280"/>
      <c r="E280"/>
    </row>
    <row r="281" spans="1:5" s="17" customFormat="1" ht="15">
      <c r="A281" s="37" t="e">
        <f>JARCOpMatchSource9</f>
        <v>#NAME?</v>
      </c>
      <c r="B281" s="247">
        <f>Summary!B237</f>
        <v>0</v>
      </c>
      <c r="C281" s="247"/>
      <c r="D281"/>
      <c r="E281"/>
    </row>
    <row r="282" spans="1:5" s="17" customFormat="1" ht="15">
      <c r="A282" s="37" t="e">
        <f>JARCOpMatchSource10</f>
        <v>#NAME?</v>
      </c>
      <c r="B282" s="247">
        <f>Summary!B238</f>
        <v>0</v>
      </c>
      <c r="C282" s="247"/>
      <c r="D282"/>
      <c r="E282"/>
    </row>
    <row r="283" spans="1:5" s="17" customFormat="1" ht="15.75" thickBot="1">
      <c r="A283" s="243" t="s">
        <v>153</v>
      </c>
      <c r="B283" s="243"/>
      <c r="C283" s="65">
        <f>Summary!C229</f>
        <v>0</v>
      </c>
      <c r="D283"/>
      <c r="E283"/>
    </row>
    <row r="284" spans="1:4" s="17" customFormat="1" ht="15.75" thickBot="1">
      <c r="A284" s="252" t="s">
        <v>134</v>
      </c>
      <c r="B284" s="253"/>
      <c r="C284" s="253"/>
      <c r="D284" s="254"/>
    </row>
    <row r="285" spans="1:4" s="17" customFormat="1" ht="15.75" customHeight="1">
      <c r="A285" s="19" t="s">
        <v>161</v>
      </c>
      <c r="B285" s="255" t="b">
        <v>1</v>
      </c>
      <c r="C285" s="256"/>
      <c r="D285" s="256"/>
    </row>
    <row r="286" spans="1:4" s="17" customFormat="1" ht="15">
      <c r="A286" s="63" t="s">
        <v>162</v>
      </c>
      <c r="B286" s="31" t="b">
        <v>0</v>
      </c>
      <c r="C286" s="32"/>
      <c r="D286" s="32"/>
    </row>
    <row r="287" spans="1:4" s="17" customFormat="1" ht="15">
      <c r="A287" s="19" t="s">
        <v>163</v>
      </c>
      <c r="B287" s="255"/>
      <c r="C287" s="256"/>
      <c r="D287" s="256"/>
    </row>
    <row r="288" spans="1:4" s="17" customFormat="1" ht="30">
      <c r="A288" s="19" t="s">
        <v>164</v>
      </c>
      <c r="B288" s="255" t="b">
        <v>1</v>
      </c>
      <c r="C288" s="256"/>
      <c r="D288" s="256"/>
    </row>
    <row r="289" spans="1:4" s="17" customFormat="1" ht="15">
      <c r="A289" s="63" t="s">
        <v>160</v>
      </c>
      <c r="B289" s="31" t="b">
        <v>0</v>
      </c>
      <c r="C289" s="32"/>
      <c r="D289" s="32"/>
    </row>
    <row r="290" spans="1:4" s="17" customFormat="1" ht="15">
      <c r="A290" s="19" t="s">
        <v>58</v>
      </c>
      <c r="B290" s="255"/>
      <c r="C290" s="256"/>
      <c r="D290" s="256"/>
    </row>
    <row r="291" spans="1:2" ht="15">
      <c r="A291" s="271" t="s">
        <v>201</v>
      </c>
      <c r="B291" s="271"/>
    </row>
    <row r="292" spans="1:6" s="17" customFormat="1" ht="16.5" customHeight="1">
      <c r="A292" s="37" t="s">
        <v>208</v>
      </c>
      <c r="B292" s="83" t="b">
        <v>0</v>
      </c>
      <c r="C292" s="274"/>
      <c r="D292" s="275"/>
      <c r="E292" s="275"/>
      <c r="F292" s="275"/>
    </row>
    <row r="293" spans="1:6" s="17" customFormat="1" ht="16.5" customHeight="1">
      <c r="A293" s="37" t="s">
        <v>209</v>
      </c>
      <c r="B293" s="83" t="b">
        <v>0</v>
      </c>
      <c r="C293" s="81"/>
      <c r="D293" s="82"/>
      <c r="E293" s="82"/>
      <c r="F293" s="82"/>
    </row>
    <row r="294" spans="1:6" s="17" customFormat="1" ht="15">
      <c r="A294" s="179" t="s">
        <v>206</v>
      </c>
      <c r="B294" s="179"/>
      <c r="C294" s="179"/>
      <c r="D294" s="179"/>
      <c r="E294" s="179"/>
      <c r="F294" s="179"/>
    </row>
    <row r="295" spans="1:2" ht="30">
      <c r="A295" s="10" t="s">
        <v>67</v>
      </c>
      <c r="B295" s="9"/>
    </row>
    <row r="296" spans="1:2" ht="15">
      <c r="A296" s="10" t="s">
        <v>68</v>
      </c>
      <c r="B296" s="9"/>
    </row>
    <row r="297" spans="1:2" ht="30">
      <c r="A297" s="10" t="s">
        <v>69</v>
      </c>
      <c r="B297" s="9"/>
    </row>
    <row r="298" spans="1:6" s="17" customFormat="1" ht="15">
      <c r="A298" s="179" t="s">
        <v>207</v>
      </c>
      <c r="B298" s="179"/>
      <c r="C298" s="179"/>
      <c r="D298" s="179"/>
      <c r="E298" s="179"/>
      <c r="F298" s="179"/>
    </row>
    <row r="299" spans="1:2" ht="15">
      <c r="A299" s="10" t="s">
        <v>70</v>
      </c>
      <c r="B299" s="9">
        <f>IF(PTCapital,COUNTA(Summary!A85:A104),IF(PTOperating,COUNTA(Summary!A186:A205),IF(PTOpCap,SUM(COUNTA(Summary!A85:A104),COUNTA(Summary!A186:A205)),"")))</f>
      </c>
    </row>
    <row r="300" spans="1:2" ht="15">
      <c r="A300" s="10" t="s">
        <v>71</v>
      </c>
      <c r="B300" s="9"/>
    </row>
    <row r="301" spans="1:2" ht="15">
      <c r="A301" s="10" t="s">
        <v>72</v>
      </c>
      <c r="B301" s="9"/>
    </row>
    <row r="302" spans="1:2" ht="15">
      <c r="A302" s="10" t="s">
        <v>73</v>
      </c>
      <c r="B302" s="9"/>
    </row>
    <row r="303" spans="1:2" ht="15">
      <c r="A303" s="272" t="s">
        <v>203</v>
      </c>
      <c r="B303" s="273"/>
    </row>
    <row r="304" spans="1:3" ht="15">
      <c r="A304" s="10" t="s">
        <v>210</v>
      </c>
      <c r="B304" s="9"/>
      <c r="C304">
        <f>IF(ratingoption1,"Rating Option 1",IF(ratingoption2,"Rating Option 2",""))</f>
      </c>
    </row>
    <row r="305" spans="1:2" ht="15">
      <c r="A305" s="87" t="s">
        <v>236</v>
      </c>
      <c r="B305" s="9" t="b">
        <v>0</v>
      </c>
    </row>
    <row r="306" spans="1:2" ht="15">
      <c r="A306" s="87" t="s">
        <v>234</v>
      </c>
      <c r="B306" s="9" t="b">
        <v>0</v>
      </c>
    </row>
    <row r="307" spans="1:2" ht="15">
      <c r="A307" s="87" t="s">
        <v>235</v>
      </c>
      <c r="B307" s="9" t="b">
        <v>0</v>
      </c>
    </row>
    <row r="308" spans="1:2" s="86" customFormat="1" ht="15">
      <c r="A308" s="84" t="s">
        <v>211</v>
      </c>
      <c r="B308" s="85"/>
    </row>
    <row r="309" spans="1:2" ht="15">
      <c r="A309" s="10" t="s">
        <v>74</v>
      </c>
      <c r="B309" s="9"/>
    </row>
    <row r="310" spans="1:2" ht="15">
      <c r="A310" s="10" t="s">
        <v>75</v>
      </c>
      <c r="B310" s="9"/>
    </row>
    <row r="311" spans="1:2" ht="15">
      <c r="A311" s="10" t="s">
        <v>76</v>
      </c>
      <c r="B311" s="9"/>
    </row>
    <row r="312" spans="1:2" s="86" customFormat="1" ht="15">
      <c r="A312" s="84" t="s">
        <v>212</v>
      </c>
      <c r="B312" s="85"/>
    </row>
    <row r="313" spans="1:2" ht="30">
      <c r="A313" s="10" t="s">
        <v>77</v>
      </c>
      <c r="B313" s="9"/>
    </row>
    <row r="314" spans="1:2" ht="15">
      <c r="A314" s="10" t="s">
        <v>78</v>
      </c>
      <c r="B314" s="9"/>
    </row>
    <row r="315" spans="1:2" ht="15">
      <c r="A315" s="10" t="s">
        <v>79</v>
      </c>
      <c r="B315" s="9"/>
    </row>
    <row r="316" spans="1:2" ht="15">
      <c r="A316" s="10" t="s">
        <v>80</v>
      </c>
      <c r="B316" s="9"/>
    </row>
    <row r="317" spans="1:2" s="86" customFormat="1" ht="15">
      <c r="A317" s="84" t="s">
        <v>213</v>
      </c>
      <c r="B317" s="85"/>
    </row>
    <row r="318" spans="1:6" s="17" customFormat="1" ht="15">
      <c r="A318" s="322" t="s">
        <v>216</v>
      </c>
      <c r="B318" s="323"/>
      <c r="C318" s="324"/>
      <c r="D318" s="324"/>
      <c r="E318" s="324"/>
      <c r="F318" s="324"/>
    </row>
    <row r="319" spans="1:6" s="17" customFormat="1" ht="15">
      <c r="A319" s="325" t="s">
        <v>81</v>
      </c>
      <c r="B319" s="326"/>
      <c r="C319" s="326"/>
      <c r="D319" s="326"/>
      <c r="E319" s="326"/>
      <c r="F319" s="327"/>
    </row>
    <row r="320" spans="1:9" s="17" customFormat="1" ht="15">
      <c r="A320" s="328" t="s">
        <v>228</v>
      </c>
      <c r="B320" s="328"/>
      <c r="C320" s="328" t="s">
        <v>229</v>
      </c>
      <c r="D320" s="328"/>
      <c r="E320" s="328"/>
      <c r="F320" s="328"/>
      <c r="G320" s="329" t="s">
        <v>230</v>
      </c>
      <c r="H320" s="329"/>
      <c r="I320" s="329"/>
    </row>
    <row r="321" spans="1:9" s="17" customFormat="1" ht="30" customHeight="1">
      <c r="A321" s="328"/>
      <c r="B321" s="328"/>
      <c r="C321" s="330"/>
      <c r="D321" s="330"/>
      <c r="E321" s="330"/>
      <c r="F321" s="330"/>
      <c r="G321" s="93">
        <f>IF(yes1,"Yes",IF(no1,"No",""))</f>
      </c>
      <c r="H321" s="94" t="b">
        <v>0</v>
      </c>
      <c r="I321" s="94" t="b">
        <v>0</v>
      </c>
    </row>
    <row r="322" spans="1:9" s="17" customFormat="1" ht="30" customHeight="1">
      <c r="A322" s="328"/>
      <c r="B322" s="328"/>
      <c r="C322" s="330"/>
      <c r="D322" s="330"/>
      <c r="E322" s="330"/>
      <c r="F322" s="330"/>
      <c r="G322" s="93">
        <f>IF(yes2,"Yes",IF(no2,"No",""))</f>
      </c>
      <c r="H322" s="94" t="b">
        <v>0</v>
      </c>
      <c r="I322" s="94" t="b">
        <v>0</v>
      </c>
    </row>
    <row r="323" spans="1:9" s="17" customFormat="1" ht="30" customHeight="1">
      <c r="A323" s="328"/>
      <c r="B323" s="333"/>
      <c r="C323" s="334"/>
      <c r="D323" s="334"/>
      <c r="E323" s="334"/>
      <c r="F323" s="334"/>
      <c r="G323" s="97">
        <f>IF(yes3,"Yes",IF(no3,"No",""))</f>
      </c>
      <c r="H323" s="98" t="b">
        <v>0</v>
      </c>
      <c r="I323" s="98" t="b">
        <v>0</v>
      </c>
    </row>
    <row r="324" spans="1:11" s="17" customFormat="1" ht="30" customHeight="1">
      <c r="A324" s="19" t="s">
        <v>231</v>
      </c>
      <c r="B324" s="96" t="b">
        <v>0</v>
      </c>
      <c r="C324" s="95" t="b">
        <v>0</v>
      </c>
      <c r="D324" s="100">
        <f>IF(correctiveyes,"Yes",IF(correctiveno,"No",""))</f>
      </c>
      <c r="E324" s="100">
        <f>IF(AND(yes1,yes2,yes3),"N/A",correctionactionidentified)</f>
      </c>
      <c r="F324" s="101"/>
      <c r="G324" s="94"/>
      <c r="H324" s="94"/>
      <c r="I324" s="94"/>
      <c r="J324" s="26"/>
      <c r="K324" s="26"/>
    </row>
    <row r="325" spans="1:11" ht="15">
      <c r="A325" s="10" t="s">
        <v>82</v>
      </c>
      <c r="B325" s="242"/>
      <c r="C325" s="242"/>
      <c r="D325" s="242"/>
      <c r="E325" s="242"/>
      <c r="F325" s="242"/>
      <c r="G325" s="242"/>
      <c r="H325" s="242"/>
      <c r="I325" s="242"/>
      <c r="J325" s="242"/>
      <c r="K325" s="242"/>
    </row>
    <row r="326" spans="1:11" ht="30">
      <c r="A326" s="10" t="s">
        <v>83</v>
      </c>
      <c r="B326" s="242"/>
      <c r="C326" s="242"/>
      <c r="D326" s="242"/>
      <c r="E326" s="242"/>
      <c r="F326" s="242"/>
      <c r="G326" s="242"/>
      <c r="H326" s="242"/>
      <c r="I326" s="242"/>
      <c r="J326" s="242"/>
      <c r="K326" s="11"/>
    </row>
    <row r="327" spans="1:4" ht="30">
      <c r="A327" s="10" t="s">
        <v>84</v>
      </c>
      <c r="B327" s="99" t="b">
        <v>0</v>
      </c>
      <c r="C327" t="b">
        <v>0</v>
      </c>
      <c r="D327" s="11">
        <f>IF(AND(yes1,yes2,yes3),"N/A",IF(EPwithreasonablecause,"Yes",IF(EPwithreasonablecauseno,"No","")))</f>
      </c>
    </row>
    <row r="328" spans="1:6" ht="15">
      <c r="A328" s="10" t="s">
        <v>85</v>
      </c>
      <c r="B328" s="331"/>
      <c r="C328" s="332"/>
      <c r="D328" s="332"/>
      <c r="E328" s="332"/>
      <c r="F328" s="332"/>
    </row>
    <row r="329" spans="1:2" ht="15">
      <c r="A329" s="10" t="s">
        <v>86</v>
      </c>
      <c r="B329" s="10"/>
    </row>
    <row r="330" spans="1:4" s="17" customFormat="1" ht="15">
      <c r="A330" s="248" t="s">
        <v>204</v>
      </c>
      <c r="B330" s="249"/>
      <c r="C330" s="249"/>
      <c r="D330" s="249"/>
    </row>
    <row r="331" spans="1:13" s="11" customFormat="1" ht="15">
      <c r="A331" s="10" t="s">
        <v>56</v>
      </c>
      <c r="B331" s="241"/>
      <c r="C331" s="242"/>
      <c r="D331" s="242"/>
      <c r="E331" s="242"/>
      <c r="F331" s="242"/>
      <c r="G331" s="242"/>
      <c r="H331" s="242"/>
      <c r="I331" s="240"/>
      <c r="J331" s="240"/>
      <c r="K331" s="240"/>
      <c r="L331" s="240"/>
      <c r="M331" s="240"/>
    </row>
    <row r="332" spans="1:4" s="11" customFormat="1" ht="30">
      <c r="A332" s="10" t="s">
        <v>87</v>
      </c>
      <c r="B332" s="9"/>
      <c r="C332" s="11" t="b">
        <v>0</v>
      </c>
      <c r="D332" s="11" t="b">
        <v>0</v>
      </c>
    </row>
    <row r="333" spans="1:2" s="240" customFormat="1" ht="15">
      <c r="A333" s="10" t="s">
        <v>88</v>
      </c>
      <c r="B333" s="239"/>
    </row>
    <row r="334" spans="1:2" s="11" customFormat="1" ht="30">
      <c r="A334" s="10" t="s">
        <v>214</v>
      </c>
      <c r="B334" s="9" t="b">
        <v>0</v>
      </c>
    </row>
    <row r="335" spans="1:2" s="11" customFormat="1" ht="30">
      <c r="A335" s="10" t="s">
        <v>215</v>
      </c>
      <c r="B335" s="9" t="b">
        <v>0</v>
      </c>
    </row>
    <row r="336" spans="1:15" s="11" customFormat="1" ht="15">
      <c r="A336" s="11" t="s">
        <v>90</v>
      </c>
      <c r="B336" s="240"/>
      <c r="C336" s="240"/>
      <c r="D336" s="240"/>
      <c r="E336" s="240"/>
      <c r="F336" s="240"/>
      <c r="G336" s="240"/>
      <c r="H336" s="240"/>
      <c r="I336" s="240"/>
      <c r="J336" s="240"/>
      <c r="K336" s="240"/>
      <c r="L336" s="240"/>
      <c r="M336" s="240"/>
      <c r="N336" s="240"/>
      <c r="O336" s="240"/>
    </row>
  </sheetData>
  <sheetProtection password="CB94" sheet="1" objects="1" scenarios="1" selectLockedCells="1" selectUnlockedCells="1"/>
  <mergeCells count="202">
    <mergeCell ref="B281:C281"/>
    <mergeCell ref="B282:C282"/>
    <mergeCell ref="B277:C277"/>
    <mergeCell ref="B278:C278"/>
    <mergeCell ref="B279:C279"/>
    <mergeCell ref="B280:C280"/>
    <mergeCell ref="B273:C273"/>
    <mergeCell ref="B274:C274"/>
    <mergeCell ref="B275:C275"/>
    <mergeCell ref="B276:C276"/>
    <mergeCell ref="B325:K325"/>
    <mergeCell ref="B326:J326"/>
    <mergeCell ref="B328:F328"/>
    <mergeCell ref="A323:B323"/>
    <mergeCell ref="C323:F323"/>
    <mergeCell ref="A321:B321"/>
    <mergeCell ref="C321:F321"/>
    <mergeCell ref="A322:B322"/>
    <mergeCell ref="C322:F322"/>
    <mergeCell ref="A319:F319"/>
    <mergeCell ref="A320:B320"/>
    <mergeCell ref="C320:F320"/>
    <mergeCell ref="G320:I320"/>
    <mergeCell ref="C156:D156"/>
    <mergeCell ref="C157:D157"/>
    <mergeCell ref="A318:B318"/>
    <mergeCell ref="C318:F318"/>
    <mergeCell ref="C163:D163"/>
    <mergeCell ref="C158:D158"/>
    <mergeCell ref="C159:D159"/>
    <mergeCell ref="C160:D160"/>
    <mergeCell ref="C161:D161"/>
    <mergeCell ref="C162:D162"/>
    <mergeCell ref="B255:C255"/>
    <mergeCell ref="B256:C256"/>
    <mergeCell ref="A17:B17"/>
    <mergeCell ref="A31:B31"/>
    <mergeCell ref="A54:B54"/>
    <mergeCell ref="A55:B55"/>
    <mergeCell ref="A211:B211"/>
    <mergeCell ref="B149:C149"/>
    <mergeCell ref="B150:C150"/>
    <mergeCell ref="B151:C151"/>
    <mergeCell ref="B257:C257"/>
    <mergeCell ref="B258:C258"/>
    <mergeCell ref="A126:D126"/>
    <mergeCell ref="A128:D128"/>
    <mergeCell ref="A130:D130"/>
    <mergeCell ref="A132:D132"/>
    <mergeCell ref="B253:C253"/>
    <mergeCell ref="B254:C254"/>
    <mergeCell ref="B153:C153"/>
    <mergeCell ref="B166:C166"/>
    <mergeCell ref="A38:B38"/>
    <mergeCell ref="A5:B5"/>
    <mergeCell ref="A6:B6"/>
    <mergeCell ref="A28:B28"/>
    <mergeCell ref="A29:B29"/>
    <mergeCell ref="A81:B81"/>
    <mergeCell ref="A199:B199"/>
    <mergeCell ref="A201:B201"/>
    <mergeCell ref="A203:B203"/>
    <mergeCell ref="B167:C167"/>
    <mergeCell ref="A102:D102"/>
    <mergeCell ref="B103:D103"/>
    <mergeCell ref="B144:C144"/>
    <mergeCell ref="B145:C145"/>
    <mergeCell ref="B113:D113"/>
    <mergeCell ref="A228:B228"/>
    <mergeCell ref="A124:D124"/>
    <mergeCell ref="A142:E142"/>
    <mergeCell ref="A134:D134"/>
    <mergeCell ref="A136:D136"/>
    <mergeCell ref="A138:D138"/>
    <mergeCell ref="B143:C143"/>
    <mergeCell ref="A226:B226"/>
    <mergeCell ref="B148:C148"/>
    <mergeCell ref="B173:C173"/>
    <mergeCell ref="B114:D114"/>
    <mergeCell ref="B115:D115"/>
    <mergeCell ref="B116:D116"/>
    <mergeCell ref="A117:E117"/>
    <mergeCell ref="A120:D120"/>
    <mergeCell ref="B171:C171"/>
    <mergeCell ref="B172:C172"/>
    <mergeCell ref="A141:D141"/>
    <mergeCell ref="B146:C146"/>
    <mergeCell ref="B147:C147"/>
    <mergeCell ref="A122:D122"/>
    <mergeCell ref="B152:C152"/>
    <mergeCell ref="C164:D164"/>
    <mergeCell ref="B155:D155"/>
    <mergeCell ref="B174:C174"/>
    <mergeCell ref="B168:C168"/>
    <mergeCell ref="B169:C169"/>
    <mergeCell ref="B170:C170"/>
    <mergeCell ref="B182:D182"/>
    <mergeCell ref="A183:D183"/>
    <mergeCell ref="B184:C184"/>
    <mergeCell ref="B185:C185"/>
    <mergeCell ref="B175:C175"/>
    <mergeCell ref="B176:C176"/>
    <mergeCell ref="B177:C177"/>
    <mergeCell ref="B180:C180"/>
    <mergeCell ref="B189:C189"/>
    <mergeCell ref="A214:D214"/>
    <mergeCell ref="A220:B220"/>
    <mergeCell ref="A205:B205"/>
    <mergeCell ref="A207:B207"/>
    <mergeCell ref="B194:C194"/>
    <mergeCell ref="A195:D195"/>
    <mergeCell ref="A196:D196"/>
    <mergeCell ref="A209:B209"/>
    <mergeCell ref="A234:B234"/>
    <mergeCell ref="A235:B235"/>
    <mergeCell ref="B190:C190"/>
    <mergeCell ref="B191:C191"/>
    <mergeCell ref="B192:C192"/>
    <mergeCell ref="B193:C193"/>
    <mergeCell ref="A232:B232"/>
    <mergeCell ref="A230:B230"/>
    <mergeCell ref="A222:B222"/>
    <mergeCell ref="A218:B218"/>
    <mergeCell ref="B252:C252"/>
    <mergeCell ref="B240:C240"/>
    <mergeCell ref="B241:C241"/>
    <mergeCell ref="B242:C242"/>
    <mergeCell ref="B243:C243"/>
    <mergeCell ref="A236:C236"/>
    <mergeCell ref="B237:C237"/>
    <mergeCell ref="B238:C238"/>
    <mergeCell ref="B239:C239"/>
    <mergeCell ref="B264:C264"/>
    <mergeCell ref="B244:C244"/>
    <mergeCell ref="B245:C245"/>
    <mergeCell ref="B246:C246"/>
    <mergeCell ref="B259:C259"/>
    <mergeCell ref="B247:C247"/>
    <mergeCell ref="A248:D248"/>
    <mergeCell ref="B249:C249"/>
    <mergeCell ref="B250:C250"/>
    <mergeCell ref="B251:C251"/>
    <mergeCell ref="B287:D287"/>
    <mergeCell ref="A291:B291"/>
    <mergeCell ref="A303:B303"/>
    <mergeCell ref="B288:D288"/>
    <mergeCell ref="B290:D290"/>
    <mergeCell ref="C292:F292"/>
    <mergeCell ref="B269:C269"/>
    <mergeCell ref="B270:C270"/>
    <mergeCell ref="B271:C271"/>
    <mergeCell ref="B272:C272"/>
    <mergeCell ref="B86:D86"/>
    <mergeCell ref="B87:D87"/>
    <mergeCell ref="B88:D88"/>
    <mergeCell ref="B89:D89"/>
    <mergeCell ref="A82:D82"/>
    <mergeCell ref="B83:D83"/>
    <mergeCell ref="A84:D84"/>
    <mergeCell ref="B85:D85"/>
    <mergeCell ref="B94:D94"/>
    <mergeCell ref="B95:D95"/>
    <mergeCell ref="B96:D96"/>
    <mergeCell ref="B97:D97"/>
    <mergeCell ref="B90:D90"/>
    <mergeCell ref="B91:D91"/>
    <mergeCell ref="B92:D92"/>
    <mergeCell ref="A93:D93"/>
    <mergeCell ref="B98:D98"/>
    <mergeCell ref="B99:D99"/>
    <mergeCell ref="B100:D100"/>
    <mergeCell ref="B101:D101"/>
    <mergeCell ref="B181:C181"/>
    <mergeCell ref="A165:B165"/>
    <mergeCell ref="A178:B178"/>
    <mergeCell ref="A233:B233"/>
    <mergeCell ref="A224:B224"/>
    <mergeCell ref="A213:B213"/>
    <mergeCell ref="A216:B216"/>
    <mergeCell ref="B186:C186"/>
    <mergeCell ref="B187:C187"/>
    <mergeCell ref="B188:C188"/>
    <mergeCell ref="B262:C262"/>
    <mergeCell ref="B263:C263"/>
    <mergeCell ref="A330:D330"/>
    <mergeCell ref="A260:B260"/>
    <mergeCell ref="B265:C265"/>
    <mergeCell ref="B266:C266"/>
    <mergeCell ref="B267:C267"/>
    <mergeCell ref="B268:C268"/>
    <mergeCell ref="A284:D284"/>
    <mergeCell ref="B285:D285"/>
    <mergeCell ref="A1:B1"/>
    <mergeCell ref="B333:IV333"/>
    <mergeCell ref="B336:O336"/>
    <mergeCell ref="B331:M331"/>
    <mergeCell ref="A294:F294"/>
    <mergeCell ref="A298:F298"/>
    <mergeCell ref="A283:B283"/>
    <mergeCell ref="A139:D139"/>
    <mergeCell ref="A140:D140"/>
    <mergeCell ref="A261:D261"/>
  </mergeCells>
  <printOptions gridLines="1" headings="1"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test</cp:lastModifiedBy>
  <cp:lastPrinted>2009-03-04T15:02:15Z</cp:lastPrinted>
  <dcterms:created xsi:type="dcterms:W3CDTF">2008-12-06T22:30:48Z</dcterms:created>
  <dcterms:modified xsi:type="dcterms:W3CDTF">2009-04-16T20:33:01Z</dcterms:modified>
  <cp:category/>
  <cp:version/>
  <cp:contentType/>
  <cp:contentStatus/>
</cp:coreProperties>
</file>