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785" yWindow="-15" windowWidth="10830" windowHeight="10305" tabRatio="729" firstSheet="2" activeTab="5"/>
  </bookViews>
  <sheets>
    <sheet name="OKDOT Project Overview" sheetId="34" r:id="rId1"/>
    <sheet name="Project Elements-DWC" sheetId="35" r:id="rId2"/>
    <sheet name="Project Data Request" sheetId="32" r:id="rId3"/>
    <sheet name="Control Sections_Bryan County" sheetId="31" r:id="rId4"/>
    <sheet name="Pavement Conditions" sheetId="33" r:id="rId5"/>
    <sheet name="30 Year BCA" sheetId="37" r:id="rId6"/>
    <sheet name="Economic Competitiveness" sheetId="38" r:id="rId7"/>
    <sheet name="CPI" sheetId="39" r:id="rId8"/>
    <sheet name="Segments" sheetId="36" r:id="rId9"/>
    <sheet name="Workbook" sheetId="29" r:id="rId10"/>
    <sheet name="Input" sheetId="2" r:id="rId11"/>
    <sheet name="Corridors" sheetId="12" r:id="rId12"/>
    <sheet name="BCA 3%" sheetId="1" r:id="rId13"/>
    <sheet name="BCA 7%" sheetId="28" r:id="rId14"/>
    <sheet name="VMT" sheetId="5" r:id="rId15"/>
    <sheet name="Maintenance_per_LM" sheetId="6" r:id="rId16"/>
    <sheet name="Project Costs" sheetId="7" r:id="rId17"/>
    <sheet name="Project Budget" sheetId="27" r:id="rId18"/>
    <sheet name="Rail Delay" sheetId="8" r:id="rId19"/>
    <sheet name="Study Area" sheetId="13" r:id="rId20"/>
    <sheet name="2035 NB" sheetId="14" r:id="rId21"/>
    <sheet name="2035 Build" sheetId="15" r:id="rId22"/>
    <sheet name="READ" sheetId="16" r:id="rId23"/>
    <sheet name="VMT Interpolation" sheetId="18" r:id="rId24"/>
    <sheet name="VMT Interp" sheetId="19" r:id="rId25"/>
    <sheet name="VMT1" sheetId="4" r:id="rId26"/>
    <sheet name="Sheet7" sheetId="17" r:id="rId27"/>
    <sheet name="Carbon" sheetId="20" r:id="rId28"/>
    <sheet name="Rail Crash" sheetId="9" r:id="rId29"/>
    <sheet name="Car Crash" sheetId="24" r:id="rId30"/>
    <sheet name="Crash Data" sheetId="25" r:id="rId31"/>
    <sheet name="Tables" sheetId="21" r:id="rId32"/>
    <sheet name="Property Taxes" sheetId="22" r:id="rId33"/>
    <sheet name="Acres Developed" sheetId="23" r:id="rId34"/>
    <sheet name="Summary Table" sheetId="26" r:id="rId35"/>
    <sheet name="Sheet1" sheetId="11" r:id="rId36"/>
  </sheets>
  <externalReferences>
    <externalReference r:id="rId37"/>
    <externalReference r:id="rId38"/>
    <externalReference r:id="rId39"/>
  </externalReferences>
  <definedNames>
    <definedName name="dblStack">'[1]Tunnel Capacity'!$C$6</definedName>
    <definedName name="domstackRate">'[1]Tunnel Capacity'!$C$4</definedName>
    <definedName name="intlstackRate">'[1]Tunnel Capacity'!$C$3</definedName>
    <definedName name="maxLength">'[1]Tunnel Capacity'!$C$2</definedName>
    <definedName name="_xlnm.Print_Area" localSheetId="12">'BCA 3%'!$A$1:$P$38</definedName>
    <definedName name="_xlnm.Print_Area" localSheetId="10">Input!$A$1:$C$138</definedName>
    <definedName name="_xlnm.Print_Area" localSheetId="0">'OKDOT Project Overview'!$D$2:$F$76</definedName>
    <definedName name="_xlnm.Print_Area" localSheetId="4">'Pavement Conditions'!$A$48:$T$91</definedName>
    <definedName name="_xlnm.Print_Titles" localSheetId="10">Input!$4:$4</definedName>
    <definedName name="singleStack">'[1]Tunnel Capacity'!$C$5</definedName>
  </definedNames>
  <calcPr calcId="152511"/>
</workbook>
</file>

<file path=xl/calcChain.xml><?xml version="1.0" encoding="utf-8"?>
<calcChain xmlns="http://schemas.openxmlformats.org/spreadsheetml/2006/main">
  <c r="K32" i="38" l="1"/>
  <c r="L32" i="38"/>
  <c r="M32" i="38"/>
  <c r="N32" i="38"/>
  <c r="O32" i="38"/>
  <c r="P32" i="38"/>
  <c r="Q32" i="38"/>
  <c r="R32" i="38"/>
  <c r="S32" i="38"/>
  <c r="T32" i="38"/>
  <c r="U32" i="38"/>
  <c r="V32" i="38"/>
  <c r="W32" i="38"/>
  <c r="X32" i="38"/>
  <c r="Y32" i="38"/>
  <c r="Z32" i="38"/>
  <c r="AA32" i="38"/>
  <c r="AB32" i="38"/>
  <c r="AC32" i="38"/>
  <c r="AD32" i="38"/>
  <c r="AE32" i="38"/>
  <c r="AF32" i="38"/>
  <c r="AG32" i="38"/>
  <c r="AH32" i="38"/>
  <c r="AI32" i="38"/>
  <c r="AJ32" i="38"/>
  <c r="AK32" i="38"/>
  <c r="AL32" i="38"/>
  <c r="AM32" i="38"/>
  <c r="AN32" i="38"/>
  <c r="J32" i="38"/>
  <c r="M31" i="38"/>
  <c r="N31" i="38"/>
  <c r="O31" i="38"/>
  <c r="P31" i="38"/>
  <c r="Q31" i="38"/>
  <c r="R31" i="38"/>
  <c r="S31" i="38"/>
  <c r="T31" i="38"/>
  <c r="U31" i="38"/>
  <c r="V31" i="38"/>
  <c r="W31" i="38"/>
  <c r="X31" i="38"/>
  <c r="Y31" i="38"/>
  <c r="Z31" i="38"/>
  <c r="AA31" i="38"/>
  <c r="AB31" i="38"/>
  <c r="AC31" i="38"/>
  <c r="AD31" i="38"/>
  <c r="AE31" i="38"/>
  <c r="AF31" i="38"/>
  <c r="AG31" i="38"/>
  <c r="AH31" i="38"/>
  <c r="AI31" i="38"/>
  <c r="AJ31" i="38"/>
  <c r="AK31" i="38"/>
  <c r="AL31" i="38"/>
  <c r="AM31" i="38"/>
  <c r="AN31" i="38"/>
  <c r="K31" i="38"/>
  <c r="L31" i="38"/>
  <c r="J31" i="38"/>
  <c r="K25" i="38"/>
  <c r="L25" i="38"/>
  <c r="M25" i="38"/>
  <c r="N25" i="38"/>
  <c r="O25" i="38"/>
  <c r="P25" i="38"/>
  <c r="Q25" i="38"/>
  <c r="R25" i="38"/>
  <c r="S25" i="38"/>
  <c r="T25" i="38"/>
  <c r="U25" i="38"/>
  <c r="V25" i="38"/>
  <c r="W25" i="38"/>
  <c r="X25" i="38"/>
  <c r="Y25" i="38"/>
  <c r="Z25" i="38"/>
  <c r="AA25" i="38"/>
  <c r="AB25" i="38"/>
  <c r="AC25" i="38"/>
  <c r="AD25" i="38"/>
  <c r="AE25" i="38"/>
  <c r="AF25" i="38"/>
  <c r="AG25" i="38"/>
  <c r="AH25" i="38"/>
  <c r="AI25" i="38"/>
  <c r="AJ25" i="38"/>
  <c r="AK25" i="38"/>
  <c r="AL25" i="38"/>
  <c r="AM25" i="38"/>
  <c r="AN25" i="38"/>
  <c r="J25" i="38"/>
  <c r="L24" i="38"/>
  <c r="M24" i="38"/>
  <c r="N24" i="38"/>
  <c r="O24" i="38"/>
  <c r="P24" i="38"/>
  <c r="Q24" i="38"/>
  <c r="R24" i="38"/>
  <c r="S24" i="38"/>
  <c r="T24" i="38"/>
  <c r="U24" i="38"/>
  <c r="V24" i="38"/>
  <c r="W24" i="38"/>
  <c r="X24" i="38"/>
  <c r="Y24" i="38"/>
  <c r="Z24" i="38"/>
  <c r="AA24" i="38"/>
  <c r="AB24" i="38"/>
  <c r="AC24" i="38"/>
  <c r="AD24" i="38"/>
  <c r="AE24" i="38"/>
  <c r="AF24" i="38"/>
  <c r="AG24" i="38"/>
  <c r="AH24" i="38"/>
  <c r="AI24" i="38"/>
  <c r="AJ24" i="38"/>
  <c r="AK24" i="38"/>
  <c r="AL24" i="38"/>
  <c r="AM24" i="38"/>
  <c r="AN24" i="38"/>
  <c r="J24" i="38"/>
  <c r="K24" i="38"/>
  <c r="D42" i="38"/>
  <c r="D41" i="38"/>
  <c r="D37" i="38"/>
  <c r="D36" i="38"/>
  <c r="C37" i="38"/>
  <c r="C36" i="38"/>
  <c r="K21" i="38"/>
  <c r="L21" i="38"/>
  <c r="M21" i="38"/>
  <c r="N21" i="38"/>
  <c r="O21" i="38"/>
  <c r="P21" i="38"/>
  <c r="Q21" i="38"/>
  <c r="R21" i="38"/>
  <c r="S21" i="38"/>
  <c r="T21" i="38"/>
  <c r="U21" i="38"/>
  <c r="V21" i="38"/>
  <c r="W21" i="38"/>
  <c r="X21" i="38"/>
  <c r="Y21" i="38"/>
  <c r="Z21" i="38"/>
  <c r="AA21" i="38"/>
  <c r="AB21" i="38"/>
  <c r="AC21" i="38"/>
  <c r="AD21" i="38"/>
  <c r="AE21" i="38"/>
  <c r="AF21" i="38"/>
  <c r="AG21" i="38"/>
  <c r="AH21" i="38"/>
  <c r="AI21" i="38"/>
  <c r="AJ21" i="38"/>
  <c r="AK21" i="38"/>
  <c r="AL21" i="38"/>
  <c r="AM21" i="38"/>
  <c r="AN21" i="38"/>
  <c r="J21" i="38"/>
  <c r="L20" i="38"/>
  <c r="M20" i="38"/>
  <c r="N20" i="38"/>
  <c r="O20" i="38"/>
  <c r="P20" i="38"/>
  <c r="Q20" i="38"/>
  <c r="R20" i="38"/>
  <c r="S20" i="38"/>
  <c r="T20" i="38"/>
  <c r="U20" i="38"/>
  <c r="V20" i="38"/>
  <c r="W20" i="38"/>
  <c r="X20" i="38"/>
  <c r="Y20" i="38"/>
  <c r="Z20" i="38"/>
  <c r="AA20" i="38"/>
  <c r="AB20" i="38"/>
  <c r="AC20" i="38"/>
  <c r="AD20" i="38"/>
  <c r="AE20" i="38"/>
  <c r="AF20" i="38"/>
  <c r="AG20" i="38"/>
  <c r="AH20" i="38"/>
  <c r="AI20" i="38"/>
  <c r="AJ20" i="38"/>
  <c r="AK20" i="38"/>
  <c r="AL20" i="38"/>
  <c r="AM20" i="38"/>
  <c r="AN20" i="38"/>
  <c r="K20" i="38"/>
  <c r="J20" i="38"/>
  <c r="B22" i="38" l="1"/>
  <c r="B23" i="38" s="1"/>
  <c r="D17" i="38"/>
  <c r="A17" i="38"/>
  <c r="C17" i="38"/>
  <c r="D15" i="38"/>
  <c r="E15" i="38" s="1"/>
  <c r="C15" i="38"/>
  <c r="AC9" i="38"/>
  <c r="AC8" i="38"/>
  <c r="C22" i="38" l="1"/>
  <c r="D22" i="38"/>
  <c r="E17" i="38"/>
  <c r="F15" i="38"/>
  <c r="M131" i="38"/>
  <c r="M130" i="38"/>
  <c r="AQ127" i="38"/>
  <c r="AQ135" i="38" s="1"/>
  <c r="AP127" i="38"/>
  <c r="AP135" i="38" s="1"/>
  <c r="J122" i="38"/>
  <c r="K122" i="38" s="1"/>
  <c r="K121" i="38"/>
  <c r="L121" i="38" s="1"/>
  <c r="M121" i="38" s="1"/>
  <c r="N121" i="38" s="1"/>
  <c r="O121" i="38" s="1"/>
  <c r="P121" i="38" s="1"/>
  <c r="Q121" i="38" s="1"/>
  <c r="R121" i="38" s="1"/>
  <c r="S121" i="38" s="1"/>
  <c r="T121" i="38" s="1"/>
  <c r="U121" i="38" s="1"/>
  <c r="V121" i="38" s="1"/>
  <c r="W121" i="38" s="1"/>
  <c r="X121" i="38" s="1"/>
  <c r="Y121" i="38" s="1"/>
  <c r="Z121" i="38" s="1"/>
  <c r="AA121" i="38" s="1"/>
  <c r="AB121" i="38" s="1"/>
  <c r="AC121" i="38" s="1"/>
  <c r="AD121" i="38" s="1"/>
  <c r="AE121" i="38" s="1"/>
  <c r="AF121" i="38" s="1"/>
  <c r="AG121" i="38" s="1"/>
  <c r="AH121" i="38" s="1"/>
  <c r="AI121" i="38" s="1"/>
  <c r="AJ121" i="38" s="1"/>
  <c r="AK121" i="38" s="1"/>
  <c r="AL121" i="38" s="1"/>
  <c r="AM121" i="38" s="1"/>
  <c r="AN121" i="38" s="1"/>
  <c r="AO121" i="38" s="1"/>
  <c r="AP121" i="38" s="1"/>
  <c r="AQ121" i="38" s="1"/>
  <c r="AN117" i="38"/>
  <c r="J117" i="38"/>
  <c r="K116" i="38"/>
  <c r="L116" i="38" s="1"/>
  <c r="M116" i="38" s="1"/>
  <c r="N116" i="38" s="1"/>
  <c r="AN7" i="38"/>
  <c r="K6" i="38"/>
  <c r="L6" i="38" s="1"/>
  <c r="M6" i="38" s="1"/>
  <c r="N6" i="38" s="1"/>
  <c r="G5" i="37"/>
  <c r="H5" i="37" s="1"/>
  <c r="I5" i="37" s="1"/>
  <c r="J5" i="37" s="1"/>
  <c r="K5" i="37" s="1"/>
  <c r="L5" i="37" s="1"/>
  <c r="M5" i="37" s="1"/>
  <c r="N5" i="37" s="1"/>
  <c r="O5" i="37" s="1"/>
  <c r="P5" i="37" s="1"/>
  <c r="Q5" i="37" s="1"/>
  <c r="R5" i="37" s="1"/>
  <c r="S5" i="37" s="1"/>
  <c r="T5" i="37" s="1"/>
  <c r="U5" i="37" s="1"/>
  <c r="V5" i="37" s="1"/>
  <c r="W5" i="37" s="1"/>
  <c r="X5" i="37" s="1"/>
  <c r="Y5" i="37" s="1"/>
  <c r="Z5" i="37" s="1"/>
  <c r="AA5" i="37" s="1"/>
  <c r="AB5" i="37" s="1"/>
  <c r="AC5" i="37" s="1"/>
  <c r="AD5" i="37" s="1"/>
  <c r="AE5" i="37" s="1"/>
  <c r="AF5" i="37" s="1"/>
  <c r="AG5" i="37" s="1"/>
  <c r="AH5" i="37" s="1"/>
  <c r="AI5" i="37" s="1"/>
  <c r="B57" i="38"/>
  <c r="B56" i="38"/>
  <c r="AQ126" i="38"/>
  <c r="AQ134" i="38" s="1"/>
  <c r="J7" i="38"/>
  <c r="D112" i="37"/>
  <c r="E112" i="37" s="1"/>
  <c r="G112" i="37" s="1"/>
  <c r="H112" i="37" s="1"/>
  <c r="I112" i="37" s="1"/>
  <c r="J112" i="37" s="1"/>
  <c r="D111" i="37"/>
  <c r="E111" i="37" s="1"/>
  <c r="G111" i="37" s="1"/>
  <c r="H111" i="37" s="1"/>
  <c r="I111" i="37" s="1"/>
  <c r="J111" i="37" s="1"/>
  <c r="K111" i="37" s="1"/>
  <c r="AI109" i="37"/>
  <c r="AH109" i="37"/>
  <c r="AG109" i="37"/>
  <c r="AF109" i="37"/>
  <c r="AE109" i="37"/>
  <c r="AD109" i="37"/>
  <c r="AC109" i="37"/>
  <c r="AB109" i="37"/>
  <c r="AA109" i="37"/>
  <c r="Z109" i="37"/>
  <c r="Y109" i="37"/>
  <c r="X109" i="37"/>
  <c r="W109" i="37"/>
  <c r="V109" i="37"/>
  <c r="U109" i="37"/>
  <c r="T109" i="37"/>
  <c r="S109" i="37"/>
  <c r="R109" i="37"/>
  <c r="Q109" i="37"/>
  <c r="P109" i="37"/>
  <c r="O109" i="37"/>
  <c r="N109" i="37"/>
  <c r="M109" i="37"/>
  <c r="L109" i="37"/>
  <c r="K109" i="37"/>
  <c r="J109" i="37"/>
  <c r="I109" i="37"/>
  <c r="H109" i="37"/>
  <c r="E109" i="37"/>
  <c r="E114" i="37" s="1"/>
  <c r="G107" i="37"/>
  <c r="AJ107" i="37" s="1"/>
  <c r="D103" i="37"/>
  <c r="D109" i="37" s="1"/>
  <c r="D86" i="37"/>
  <c r="E86" i="37" s="1"/>
  <c r="G86" i="37" s="1"/>
  <c r="H86" i="37" s="1"/>
  <c r="I86" i="37" s="1"/>
  <c r="J86" i="37" s="1"/>
  <c r="K86" i="37" s="1"/>
  <c r="L86" i="37" s="1"/>
  <c r="M86" i="37" s="1"/>
  <c r="N86" i="37" s="1"/>
  <c r="O86" i="37" s="1"/>
  <c r="P86" i="37" s="1"/>
  <c r="Q86" i="37" s="1"/>
  <c r="R86" i="37" s="1"/>
  <c r="S86" i="37" s="1"/>
  <c r="T86" i="37" s="1"/>
  <c r="U86" i="37" s="1"/>
  <c r="V86" i="37" s="1"/>
  <c r="W86" i="37" s="1"/>
  <c r="X86" i="37" s="1"/>
  <c r="Y86" i="37" s="1"/>
  <c r="Z86" i="37" s="1"/>
  <c r="AA86" i="37" s="1"/>
  <c r="AB86" i="37" s="1"/>
  <c r="AC86" i="37" s="1"/>
  <c r="AD86" i="37" s="1"/>
  <c r="AE86" i="37" s="1"/>
  <c r="AF86" i="37" s="1"/>
  <c r="AG86" i="37" s="1"/>
  <c r="AH86" i="37" s="1"/>
  <c r="AI86" i="37" s="1"/>
  <c r="D85" i="37"/>
  <c r="E85" i="37" s="1"/>
  <c r="G85" i="37" s="1"/>
  <c r="H85" i="37" s="1"/>
  <c r="I85" i="37" s="1"/>
  <c r="J85" i="37" s="1"/>
  <c r="K85" i="37" s="1"/>
  <c r="L85" i="37" s="1"/>
  <c r="M85" i="37" s="1"/>
  <c r="N85" i="37" s="1"/>
  <c r="O85" i="37" s="1"/>
  <c r="P85" i="37" s="1"/>
  <c r="Q85" i="37" s="1"/>
  <c r="R85" i="37" s="1"/>
  <c r="S85" i="37" s="1"/>
  <c r="T85" i="37" s="1"/>
  <c r="U85" i="37" s="1"/>
  <c r="V85" i="37" s="1"/>
  <c r="W85" i="37" s="1"/>
  <c r="X85" i="37" s="1"/>
  <c r="Y85" i="37" s="1"/>
  <c r="Z85" i="37" s="1"/>
  <c r="AA85" i="37" s="1"/>
  <c r="AB85" i="37" s="1"/>
  <c r="AC85" i="37" s="1"/>
  <c r="AD85" i="37" s="1"/>
  <c r="AE85" i="37" s="1"/>
  <c r="AF85" i="37" s="1"/>
  <c r="AG85" i="37" s="1"/>
  <c r="AH85" i="37" s="1"/>
  <c r="AI85" i="37" s="1"/>
  <c r="B77" i="37"/>
  <c r="B76" i="37"/>
  <c r="B73" i="37"/>
  <c r="B72" i="37"/>
  <c r="B71" i="37"/>
  <c r="B68" i="37"/>
  <c r="B67" i="37"/>
  <c r="B61" i="37"/>
  <c r="B60" i="37"/>
  <c r="B40" i="37"/>
  <c r="B37" i="37"/>
  <c r="AI27" i="37"/>
  <c r="AH27" i="37"/>
  <c r="AG27" i="37"/>
  <c r="AG32" i="37" s="1"/>
  <c r="AF27" i="37"/>
  <c r="AF32" i="37" s="1"/>
  <c r="AE27" i="37"/>
  <c r="AE32" i="37" s="1"/>
  <c r="AD27" i="37"/>
  <c r="AC27" i="37"/>
  <c r="AC22" i="37" s="1"/>
  <c r="AB27" i="37"/>
  <c r="AB22" i="37" s="1"/>
  <c r="AA27" i="37"/>
  <c r="Z27" i="37"/>
  <c r="Y27" i="37"/>
  <c r="Y32" i="37" s="1"/>
  <c r="X27" i="37"/>
  <c r="X22" i="37" s="1"/>
  <c r="W27" i="37"/>
  <c r="V27" i="37"/>
  <c r="U27" i="37"/>
  <c r="U32" i="37" s="1"/>
  <c r="T27" i="37"/>
  <c r="T32" i="37" s="1"/>
  <c r="S27" i="37"/>
  <c r="R27" i="37"/>
  <c r="Q27" i="37"/>
  <c r="Q32" i="37" s="1"/>
  <c r="P27" i="37"/>
  <c r="P32" i="37" s="1"/>
  <c r="O27" i="37"/>
  <c r="O32" i="37" s="1"/>
  <c r="N27" i="37"/>
  <c r="M27" i="37"/>
  <c r="M22" i="37" s="1"/>
  <c r="L27" i="37"/>
  <c r="L22" i="37" s="1"/>
  <c r="K27" i="37"/>
  <c r="J27" i="37"/>
  <c r="I27" i="37"/>
  <c r="I32" i="37" s="1"/>
  <c r="H27" i="37"/>
  <c r="H22" i="37" s="1"/>
  <c r="AI26" i="37"/>
  <c r="AI30" i="37" s="1"/>
  <c r="AH26" i="37"/>
  <c r="AH30" i="37" s="1"/>
  <c r="AG26" i="37"/>
  <c r="AF26" i="37"/>
  <c r="AF30" i="37" s="1"/>
  <c r="AE26" i="37"/>
  <c r="AE30" i="37" s="1"/>
  <c r="AD26" i="37"/>
  <c r="AD30" i="37" s="1"/>
  <c r="AC26" i="37"/>
  <c r="AB26" i="37"/>
  <c r="AB30" i="37" s="1"/>
  <c r="AA26" i="37"/>
  <c r="AA30" i="37" s="1"/>
  <c r="Z26" i="37"/>
  <c r="Z30" i="37" s="1"/>
  <c r="Y26" i="37"/>
  <c r="X26" i="37"/>
  <c r="X30" i="37" s="1"/>
  <c r="W26" i="37"/>
  <c r="W30" i="37" s="1"/>
  <c r="V26" i="37"/>
  <c r="V30" i="37" s="1"/>
  <c r="U26" i="37"/>
  <c r="T26" i="37"/>
  <c r="T30" i="37" s="1"/>
  <c r="S26" i="37"/>
  <c r="S30" i="37" s="1"/>
  <c r="R26" i="37"/>
  <c r="R30" i="37" s="1"/>
  <c r="Q26" i="37"/>
  <c r="P26" i="37"/>
  <c r="P30" i="37" s="1"/>
  <c r="O26" i="37"/>
  <c r="O30" i="37" s="1"/>
  <c r="N26" i="37"/>
  <c r="N30" i="37" s="1"/>
  <c r="M26" i="37"/>
  <c r="L26" i="37"/>
  <c r="L30" i="37" s="1"/>
  <c r="K26" i="37"/>
  <c r="K30" i="37" s="1"/>
  <c r="J26" i="37"/>
  <c r="J30" i="37" s="1"/>
  <c r="I26" i="37"/>
  <c r="H26" i="37"/>
  <c r="H30" i="37" s="1"/>
  <c r="AE22" i="37"/>
  <c r="P22" i="37"/>
  <c r="AA17" i="37"/>
  <c r="P17" i="37"/>
  <c r="H17" i="37"/>
  <c r="H55" i="37" s="1"/>
  <c r="H56" i="37" s="1"/>
  <c r="AJ11" i="37"/>
  <c r="AI10" i="37"/>
  <c r="AH10" i="37"/>
  <c r="AG10" i="37"/>
  <c r="AF10" i="37"/>
  <c r="AE10" i="37"/>
  <c r="AD10" i="37"/>
  <c r="AC10" i="37"/>
  <c r="AB10" i="37"/>
  <c r="AA10" i="37"/>
  <c r="Z10" i="37"/>
  <c r="Y10" i="37"/>
  <c r="X10" i="37"/>
  <c r="W10" i="37"/>
  <c r="V10" i="37"/>
  <c r="U10" i="37"/>
  <c r="T10" i="37"/>
  <c r="S10" i="37"/>
  <c r="R10" i="37"/>
  <c r="Q10" i="37"/>
  <c r="P10" i="37"/>
  <c r="O10" i="37"/>
  <c r="N10" i="37"/>
  <c r="M10" i="37"/>
  <c r="L10" i="37"/>
  <c r="K10" i="37"/>
  <c r="J10" i="37"/>
  <c r="I10" i="37"/>
  <c r="H10" i="37"/>
  <c r="AI9" i="37"/>
  <c r="AH9" i="37"/>
  <c r="AG9" i="37"/>
  <c r="AG13" i="37" s="1"/>
  <c r="AF9" i="37"/>
  <c r="AE9" i="37"/>
  <c r="AD9" i="37"/>
  <c r="AC9" i="37"/>
  <c r="AC13" i="37" s="1"/>
  <c r="AB9" i="37"/>
  <c r="AA9" i="37"/>
  <c r="Z9" i="37"/>
  <c r="Y9" i="37"/>
  <c r="X9" i="37"/>
  <c r="X13" i="37" s="1"/>
  <c r="W9" i="37"/>
  <c r="V9" i="37"/>
  <c r="U9" i="37"/>
  <c r="U13" i="37" s="1"/>
  <c r="T9" i="37"/>
  <c r="S9" i="37"/>
  <c r="R9" i="37"/>
  <c r="Q9" i="37"/>
  <c r="Q13" i="37" s="1"/>
  <c r="P9" i="37"/>
  <c r="O9" i="37"/>
  <c r="N9" i="37"/>
  <c r="M9" i="37"/>
  <c r="M13" i="37" s="1"/>
  <c r="L9" i="37"/>
  <c r="K9" i="37"/>
  <c r="J9" i="37"/>
  <c r="I9" i="37"/>
  <c r="H9" i="37"/>
  <c r="H13" i="37" s="1"/>
  <c r="H6" i="37"/>
  <c r="I6" i="37" s="1"/>
  <c r="J6" i="37" s="1"/>
  <c r="K6" i="37" s="1"/>
  <c r="Z78" i="37" l="1"/>
  <c r="J9" i="38"/>
  <c r="J8" i="38"/>
  <c r="AN9" i="38"/>
  <c r="AN8" i="38"/>
  <c r="F17" i="38"/>
  <c r="J12" i="38"/>
  <c r="K12" i="38" s="1"/>
  <c r="AO127" i="38"/>
  <c r="AO135" i="38" s="1"/>
  <c r="AO126" i="38"/>
  <c r="AO134" i="38" s="1"/>
  <c r="AP126" i="38"/>
  <c r="AP134" i="38" s="1"/>
  <c r="N131" i="38"/>
  <c r="N130" i="38"/>
  <c r="O116" i="38"/>
  <c r="K123" i="38"/>
  <c r="L122" i="38"/>
  <c r="J123" i="38"/>
  <c r="O6" i="38"/>
  <c r="P63" i="37"/>
  <c r="P64" i="37" s="1"/>
  <c r="Q22" i="37"/>
  <c r="O22" i="37"/>
  <c r="O38" i="37" s="1"/>
  <c r="X69" i="37"/>
  <c r="S17" i="37"/>
  <c r="AE17" i="37"/>
  <c r="AE63" i="37" s="1"/>
  <c r="AE64" i="37" s="1"/>
  <c r="K17" i="37"/>
  <c r="K19" i="37" s="1"/>
  <c r="W17" i="37"/>
  <c r="AF17" i="37"/>
  <c r="O17" i="37"/>
  <c r="O41" i="37" s="1"/>
  <c r="X17" i="37"/>
  <c r="X49" i="37" s="1"/>
  <c r="X50" i="37" s="1"/>
  <c r="AI17" i="37"/>
  <c r="Y22" i="37"/>
  <c r="L17" i="37"/>
  <c r="L55" i="37" s="1"/>
  <c r="L56" i="37" s="1"/>
  <c r="T17" i="37"/>
  <c r="T38" i="37" s="1"/>
  <c r="AB17" i="37"/>
  <c r="AB49" i="37" s="1"/>
  <c r="AB50" i="37" s="1"/>
  <c r="I22" i="37"/>
  <c r="I24" i="37" s="1"/>
  <c r="T22" i="37"/>
  <c r="AF22" i="37"/>
  <c r="L78" i="37"/>
  <c r="U22" i="37"/>
  <c r="AG22" i="37"/>
  <c r="J13" i="37"/>
  <c r="J89" i="37" s="1"/>
  <c r="V13" i="37"/>
  <c r="V89" i="37" s="1"/>
  <c r="Z13" i="37"/>
  <c r="Z95" i="37" s="1"/>
  <c r="AH13" i="37"/>
  <c r="AH95" i="37" s="1"/>
  <c r="M32" i="37"/>
  <c r="AC32" i="37"/>
  <c r="R13" i="37"/>
  <c r="R89" i="37" s="1"/>
  <c r="AG78" i="37"/>
  <c r="G104" i="37"/>
  <c r="L32" i="37"/>
  <c r="AB32" i="37"/>
  <c r="E115" i="37"/>
  <c r="H24" i="37"/>
  <c r="AI74" i="37"/>
  <c r="W74" i="37"/>
  <c r="I74" i="37"/>
  <c r="AG74" i="37"/>
  <c r="R74" i="37"/>
  <c r="I30" i="37"/>
  <c r="I17" i="37"/>
  <c r="M30" i="37"/>
  <c r="M17" i="37"/>
  <c r="M55" i="37" s="1"/>
  <c r="M56" i="37" s="1"/>
  <c r="Q30" i="37"/>
  <c r="Q17" i="37"/>
  <c r="Q41" i="37" s="1"/>
  <c r="U30" i="37"/>
  <c r="U17" i="37"/>
  <c r="Y30" i="37"/>
  <c r="Y17" i="37"/>
  <c r="AC30" i="37"/>
  <c r="AC17" i="37"/>
  <c r="AC55" i="37" s="1"/>
  <c r="AC56" i="37" s="1"/>
  <c r="AG30" i="37"/>
  <c r="AG17" i="37"/>
  <c r="AG55" i="37" s="1"/>
  <c r="AG56" i="37" s="1"/>
  <c r="K32" i="37"/>
  <c r="K22" i="37"/>
  <c r="K24" i="37" s="1"/>
  <c r="S32" i="37"/>
  <c r="S22" i="37"/>
  <c r="W32" i="37"/>
  <c r="W22" i="37"/>
  <c r="AA32" i="37"/>
  <c r="AA22" i="37"/>
  <c r="AA63" i="37" s="1"/>
  <c r="AA64" i="37" s="1"/>
  <c r="AI32" i="37"/>
  <c r="AI22" i="37"/>
  <c r="Q74" i="37"/>
  <c r="M69" i="37"/>
  <c r="L69" i="37"/>
  <c r="Y69" i="37"/>
  <c r="N13" i="37"/>
  <c r="N89" i="37" s="1"/>
  <c r="AD13" i="37"/>
  <c r="AD89" i="37" s="1"/>
  <c r="L49" i="37"/>
  <c r="L50" i="37" s="1"/>
  <c r="L58" i="37" s="1"/>
  <c r="Y74" i="37"/>
  <c r="AD74" i="37"/>
  <c r="AJ10" i="37"/>
  <c r="T13" i="37"/>
  <c r="T95" i="37" s="1"/>
  <c r="H32" i="37"/>
  <c r="X32" i="37"/>
  <c r="X63" i="37"/>
  <c r="X64" i="37" s="1"/>
  <c r="K13" i="37"/>
  <c r="K89" i="37" s="1"/>
  <c r="O13" i="37"/>
  <c r="O89" i="37" s="1"/>
  <c r="S13" i="37"/>
  <c r="S89" i="37" s="1"/>
  <c r="W13" i="37"/>
  <c r="W95" i="37" s="1"/>
  <c r="AA13" i="37"/>
  <c r="AA95" i="37" s="1"/>
  <c r="AE13" i="37"/>
  <c r="AE89" i="37" s="1"/>
  <c r="AI13" i="37"/>
  <c r="AI95" i="37" s="1"/>
  <c r="I13" i="37"/>
  <c r="I95" i="37" s="1"/>
  <c r="Y13" i="37"/>
  <c r="Y89" i="37" s="1"/>
  <c r="J17" i="37"/>
  <c r="N17" i="37"/>
  <c r="R17" i="37"/>
  <c r="V17" i="37"/>
  <c r="Z17" i="37"/>
  <c r="AD17" i="37"/>
  <c r="AH17" i="37"/>
  <c r="K74" i="37"/>
  <c r="Q89" i="37"/>
  <c r="Q95" i="37"/>
  <c r="U89" i="37"/>
  <c r="U95" i="37"/>
  <c r="AG89" i="37"/>
  <c r="AG95" i="37"/>
  <c r="H95" i="37"/>
  <c r="H89" i="37"/>
  <c r="X95" i="37"/>
  <c r="X89" i="37"/>
  <c r="L6" i="37"/>
  <c r="M95" i="37"/>
  <c r="M89" i="37"/>
  <c r="AC95" i="37"/>
  <c r="AC89" i="37"/>
  <c r="J19" i="37"/>
  <c r="P49" i="37"/>
  <c r="P50" i="37" s="1"/>
  <c r="K112" i="37"/>
  <c r="J115" i="37"/>
  <c r="L13" i="37"/>
  <c r="P13" i="37"/>
  <c r="AB13" i="37"/>
  <c r="AF13" i="37"/>
  <c r="J95" i="37"/>
  <c r="R95" i="37"/>
  <c r="L111" i="37"/>
  <c r="M111" i="37" s="1"/>
  <c r="N111" i="37" s="1"/>
  <c r="O111" i="37" s="1"/>
  <c r="P111" i="37" s="1"/>
  <c r="Q111" i="37" s="1"/>
  <c r="K114" i="37"/>
  <c r="I19" i="37"/>
  <c r="M49" i="37"/>
  <c r="M50" i="37" s="1"/>
  <c r="M58" i="37" s="1"/>
  <c r="M38" i="37"/>
  <c r="AC38" i="37"/>
  <c r="Q78" i="37"/>
  <c r="D115" i="37"/>
  <c r="AJ9" i="37"/>
  <c r="H49" i="37"/>
  <c r="H50" i="37" s="1"/>
  <c r="H58" i="37" s="1"/>
  <c r="J22" i="37"/>
  <c r="J32" i="37"/>
  <c r="N22" i="37"/>
  <c r="N32" i="37"/>
  <c r="R22" i="37"/>
  <c r="R32" i="37"/>
  <c r="V22" i="37"/>
  <c r="V32" i="37"/>
  <c r="Z22" i="37"/>
  <c r="Z32" i="37"/>
  <c r="AD22" i="37"/>
  <c r="AD32" i="37"/>
  <c r="AH22" i="37"/>
  <c r="AH32" i="37"/>
  <c r="AJ27" i="37"/>
  <c r="M41" i="37"/>
  <c r="H63" i="37"/>
  <c r="H64" i="37" s="1"/>
  <c r="AG69" i="37"/>
  <c r="AB69" i="37"/>
  <c r="W69" i="37"/>
  <c r="AC69" i="37"/>
  <c r="U69" i="37"/>
  <c r="P69" i="37"/>
  <c r="K69" i="37"/>
  <c r="AI69" i="37"/>
  <c r="AA69" i="37"/>
  <c r="T69" i="37"/>
  <c r="O69" i="37"/>
  <c r="I69" i="37"/>
  <c r="Q69" i="37"/>
  <c r="AE69" i="37"/>
  <c r="T78" i="37"/>
  <c r="AJ104" i="37"/>
  <c r="G109" i="37"/>
  <c r="H115" i="37"/>
  <c r="H114" i="37"/>
  <c r="D114" i="37"/>
  <c r="O95" i="37"/>
  <c r="AE95" i="37"/>
  <c r="AI78" i="37"/>
  <c r="AE78" i="37"/>
  <c r="AA78" i="37"/>
  <c r="W78" i="37"/>
  <c r="S78" i="37"/>
  <c r="O78" i="37"/>
  <c r="K78" i="37"/>
  <c r="AH78" i="37"/>
  <c r="AC78" i="37"/>
  <c r="X78" i="37"/>
  <c r="R78" i="37"/>
  <c r="M78" i="37"/>
  <c r="H78" i="37"/>
  <c r="AD78" i="37"/>
  <c r="V78" i="37"/>
  <c r="P78" i="37"/>
  <c r="I78" i="37"/>
  <c r="AB78" i="37"/>
  <c r="U78" i="37"/>
  <c r="N78" i="37"/>
  <c r="AF78" i="37"/>
  <c r="AA55" i="37"/>
  <c r="AA56" i="37" s="1"/>
  <c r="H19" i="37"/>
  <c r="T63" i="37"/>
  <c r="T64" i="37" s="1"/>
  <c r="AJ26" i="37"/>
  <c r="AE49" i="37"/>
  <c r="AE50" i="37" s="1"/>
  <c r="L63" i="37"/>
  <c r="L64" i="37" s="1"/>
  <c r="W63" i="37"/>
  <c r="W64" i="37" s="1"/>
  <c r="H69" i="37"/>
  <c r="S69" i="37"/>
  <c r="AF69" i="37"/>
  <c r="J78" i="37"/>
  <c r="Y78" i="37"/>
  <c r="AE38" i="37"/>
  <c r="K41" i="37"/>
  <c r="AE41" i="37"/>
  <c r="M74" i="37"/>
  <c r="S74" i="37"/>
  <c r="AA74" i="37"/>
  <c r="AH74" i="37"/>
  <c r="H38" i="37"/>
  <c r="L38" i="37"/>
  <c r="P38" i="37"/>
  <c r="H41" i="37"/>
  <c r="L41" i="37"/>
  <c r="P41" i="37"/>
  <c r="P55" i="37"/>
  <c r="P56" i="37" s="1"/>
  <c r="AH69" i="37"/>
  <c r="N74" i="37"/>
  <c r="V74" i="37"/>
  <c r="AC74" i="37"/>
  <c r="I114" i="37"/>
  <c r="I115" i="37"/>
  <c r="AF74" i="37"/>
  <c r="AB74" i="37"/>
  <c r="X74" i="37"/>
  <c r="T74" i="37"/>
  <c r="P74" i="37"/>
  <c r="L74" i="37"/>
  <c r="H74" i="37"/>
  <c r="J74" i="37"/>
  <c r="O74" i="37"/>
  <c r="U74" i="37"/>
  <c r="Z74" i="37"/>
  <c r="AE74" i="37"/>
  <c r="AJ103" i="37"/>
  <c r="J114" i="37"/>
  <c r="J69" i="37"/>
  <c r="N69" i="37"/>
  <c r="R69" i="37"/>
  <c r="V69" i="37"/>
  <c r="Z69" i="37"/>
  <c r="AD69" i="37"/>
  <c r="B6" i="36"/>
  <c r="B5" i="36"/>
  <c r="B4" i="36"/>
  <c r="B3" i="36"/>
  <c r="G32" i="36"/>
  <c r="E32" i="36"/>
  <c r="D32" i="36"/>
  <c r="C32" i="36"/>
  <c r="G31" i="36"/>
  <c r="E31" i="36"/>
  <c r="D31" i="36"/>
  <c r="C31" i="36"/>
  <c r="G30" i="36"/>
  <c r="E30" i="36"/>
  <c r="D30" i="36"/>
  <c r="C30" i="36"/>
  <c r="G29" i="36"/>
  <c r="E29" i="36"/>
  <c r="C29" i="36"/>
  <c r="G28" i="36"/>
  <c r="E28" i="36"/>
  <c r="D28" i="36"/>
  <c r="C28" i="36"/>
  <c r="G27" i="36"/>
  <c r="E27" i="36"/>
  <c r="D27" i="36"/>
  <c r="C27" i="36"/>
  <c r="G26" i="36"/>
  <c r="E26" i="36"/>
  <c r="D26" i="36"/>
  <c r="C26" i="36"/>
  <c r="G25" i="36"/>
  <c r="E25" i="36"/>
  <c r="D25" i="36"/>
  <c r="C25" i="36"/>
  <c r="G24" i="36"/>
  <c r="E24" i="36"/>
  <c r="D24" i="36"/>
  <c r="C24" i="36"/>
  <c r="G23" i="36"/>
  <c r="E23" i="36"/>
  <c r="E33" i="36" s="1"/>
  <c r="D23" i="36"/>
  <c r="D33" i="36" s="1"/>
  <c r="C23" i="36"/>
  <c r="E20" i="36"/>
  <c r="C20" i="36"/>
  <c r="F19" i="36"/>
  <c r="F32" i="36" s="1"/>
  <c r="F18" i="36"/>
  <c r="F31" i="36" s="1"/>
  <c r="F17" i="36"/>
  <c r="F30" i="36" s="1"/>
  <c r="D16" i="36"/>
  <c r="D29" i="36" s="1"/>
  <c r="F15" i="36"/>
  <c r="F28" i="36" s="1"/>
  <c r="F14" i="36"/>
  <c r="F27" i="36" s="1"/>
  <c r="F13" i="36"/>
  <c r="F26" i="36" s="1"/>
  <c r="F12" i="36"/>
  <c r="F25" i="36" s="1"/>
  <c r="F11" i="36"/>
  <c r="F10" i="36"/>
  <c r="F23" i="36" s="1"/>
  <c r="E7" i="36"/>
  <c r="I20" i="36" s="1"/>
  <c r="D7" i="36"/>
  <c r="C7" i="36"/>
  <c r="F6" i="36"/>
  <c r="F5" i="36"/>
  <c r="F4" i="36"/>
  <c r="F3" i="36"/>
  <c r="M7" i="28"/>
  <c r="M8" i="28"/>
  <c r="M9" i="28"/>
  <c r="M10" i="28"/>
  <c r="M11" i="28"/>
  <c r="M12" i="28"/>
  <c r="M13" i="28"/>
  <c r="M14" i="28"/>
  <c r="M15" i="28"/>
  <c r="M16" i="28"/>
  <c r="M17" i="28"/>
  <c r="M18" i="28"/>
  <c r="M19" i="28"/>
  <c r="M20" i="28"/>
  <c r="M21" i="28"/>
  <c r="M22" i="28"/>
  <c r="M23" i="28"/>
  <c r="M24" i="28"/>
  <c r="M25" i="28"/>
  <c r="M26" i="28"/>
  <c r="M27" i="28"/>
  <c r="M28" i="28"/>
  <c r="M29" i="28"/>
  <c r="M30" i="28"/>
  <c r="M6" i="28"/>
  <c r="L6" i="28"/>
  <c r="O36" i="28"/>
  <c r="O35" i="28"/>
  <c r="O34" i="28"/>
  <c r="O33" i="28"/>
  <c r="O32" i="28"/>
  <c r="O31" i="28"/>
  <c r="B23" i="2"/>
  <c r="D89" i="33"/>
  <c r="H89" i="33" s="1"/>
  <c r="I88" i="33"/>
  <c r="D88" i="33"/>
  <c r="H88" i="33" s="1"/>
  <c r="I87" i="33"/>
  <c r="H87" i="33"/>
  <c r="D87" i="33"/>
  <c r="R86" i="33"/>
  <c r="Q86" i="33"/>
  <c r="L86" i="33"/>
  <c r="D86" i="33"/>
  <c r="I86" i="33" s="1"/>
  <c r="D80" i="33"/>
  <c r="I80" i="33" s="1"/>
  <c r="D79" i="33"/>
  <c r="H79" i="33" s="1"/>
  <c r="S78" i="33"/>
  <c r="R78" i="33"/>
  <c r="Q78" i="33"/>
  <c r="P78" i="33"/>
  <c r="L78" i="33"/>
  <c r="I76" i="33"/>
  <c r="H76" i="33"/>
  <c r="D76" i="33"/>
  <c r="D75" i="33"/>
  <c r="I75" i="33" s="1"/>
  <c r="D74" i="33"/>
  <c r="H74" i="33" s="1"/>
  <c r="I73" i="33"/>
  <c r="H73" i="33"/>
  <c r="D73" i="33"/>
  <c r="I72" i="33"/>
  <c r="H72" i="33"/>
  <c r="D72" i="33"/>
  <c r="D71" i="33"/>
  <c r="I71" i="33" s="1"/>
  <c r="D70" i="33"/>
  <c r="H70" i="33" s="1"/>
  <c r="I69" i="33"/>
  <c r="H69" i="33"/>
  <c r="D69" i="33"/>
  <c r="I68" i="33"/>
  <c r="H68" i="33"/>
  <c r="D68" i="33"/>
  <c r="R67" i="33"/>
  <c r="Q67" i="33"/>
  <c r="L67" i="33"/>
  <c r="D67" i="33"/>
  <c r="D77" i="33" s="1"/>
  <c r="D61" i="33"/>
  <c r="I61" i="33" s="1"/>
  <c r="R60" i="33"/>
  <c r="Q60" i="33"/>
  <c r="L60" i="33"/>
  <c r="D59" i="33"/>
  <c r="D58" i="33"/>
  <c r="H58" i="33" s="1"/>
  <c r="I57" i="33"/>
  <c r="D57" i="33"/>
  <c r="H57" i="33" s="1"/>
  <c r="I56" i="33"/>
  <c r="H56" i="33"/>
  <c r="H59" i="33" s="1"/>
  <c r="E59" i="33" s="1"/>
  <c r="J55" i="33" s="1"/>
  <c r="M55" i="33" s="1"/>
  <c r="D56" i="33"/>
  <c r="S55" i="33"/>
  <c r="R55" i="33"/>
  <c r="Q55" i="33"/>
  <c r="P55" i="33"/>
  <c r="L55" i="33"/>
  <c r="D54" i="33"/>
  <c r="D53" i="33"/>
  <c r="H53" i="33" s="1"/>
  <c r="I52" i="33"/>
  <c r="D52" i="33"/>
  <c r="H52" i="33" s="1"/>
  <c r="R51" i="33"/>
  <c r="Q51" i="33"/>
  <c r="L51" i="33"/>
  <c r="I51" i="33"/>
  <c r="H51" i="33"/>
  <c r="D51" i="33"/>
  <c r="I34" i="33"/>
  <c r="H34" i="33"/>
  <c r="D34" i="33"/>
  <c r="D33" i="33"/>
  <c r="I33" i="33" s="1"/>
  <c r="D32" i="33"/>
  <c r="H32" i="33" s="1"/>
  <c r="I31" i="33"/>
  <c r="D31" i="33"/>
  <c r="D35" i="33" s="1"/>
  <c r="I26" i="33"/>
  <c r="D26" i="33"/>
  <c r="H26" i="33" s="1"/>
  <c r="I25" i="33"/>
  <c r="H25" i="33"/>
  <c r="D25" i="33"/>
  <c r="D24" i="33"/>
  <c r="I24" i="33" s="1"/>
  <c r="D23" i="33"/>
  <c r="H23" i="33" s="1"/>
  <c r="I22" i="33"/>
  <c r="D22" i="33"/>
  <c r="H22" i="33" s="1"/>
  <c r="I21" i="33"/>
  <c r="H21" i="33"/>
  <c r="D21" i="33"/>
  <c r="D20" i="33"/>
  <c r="I20" i="33" s="1"/>
  <c r="D19" i="33"/>
  <c r="H19" i="33" s="1"/>
  <c r="I18" i="33"/>
  <c r="D18" i="33"/>
  <c r="H18" i="33" s="1"/>
  <c r="I17" i="33"/>
  <c r="H17" i="33"/>
  <c r="D17" i="33"/>
  <c r="D16" i="33"/>
  <c r="I16" i="33" s="1"/>
  <c r="D15" i="33"/>
  <c r="I15" i="33" s="1"/>
  <c r="D10" i="33"/>
  <c r="H10" i="33" s="1"/>
  <c r="I9" i="33"/>
  <c r="D9" i="33"/>
  <c r="H9" i="33" s="1"/>
  <c r="I8" i="33"/>
  <c r="H8" i="33"/>
  <c r="D8" i="33"/>
  <c r="D7" i="33"/>
  <c r="I7" i="33" s="1"/>
  <c r="D6" i="33"/>
  <c r="I6" i="33" s="1"/>
  <c r="I5" i="33"/>
  <c r="D5" i="33"/>
  <c r="H5" i="33" s="1"/>
  <c r="I4" i="33"/>
  <c r="H4" i="33"/>
  <c r="D4" i="33"/>
  <c r="K49" i="37" l="1"/>
  <c r="K50" i="37" s="1"/>
  <c r="T55" i="37"/>
  <c r="T56" i="37" s="1"/>
  <c r="T41" i="37"/>
  <c r="AA41" i="37"/>
  <c r="O49" i="37"/>
  <c r="O50" i="37" s="1"/>
  <c r="AE55" i="37"/>
  <c r="AE56" i="37" s="1"/>
  <c r="O63" i="37"/>
  <c r="O64" i="37" s="1"/>
  <c r="AC63" i="37"/>
  <c r="AC64" i="37" s="1"/>
  <c r="U49" i="37"/>
  <c r="U50" i="37" s="1"/>
  <c r="AF41" i="37"/>
  <c r="O55" i="37"/>
  <c r="O56" i="37" s="1"/>
  <c r="Q55" i="37"/>
  <c r="Q56" i="37" s="1"/>
  <c r="Q58" i="37" s="1"/>
  <c r="Q97" i="37" s="1"/>
  <c r="I89" i="37"/>
  <c r="AI41" i="37"/>
  <c r="W49" i="37"/>
  <c r="W50" i="37" s="1"/>
  <c r="J13" i="38"/>
  <c r="J17" i="38" s="1"/>
  <c r="J29" i="38" s="1"/>
  <c r="J37" i="38" s="1"/>
  <c r="J16" i="38"/>
  <c r="J118" i="38"/>
  <c r="K118" i="38" s="1"/>
  <c r="L118" i="38" s="1"/>
  <c r="M118" i="38" s="1"/>
  <c r="N118" i="38" s="1"/>
  <c r="O118" i="38" s="1"/>
  <c r="P118" i="38" s="1"/>
  <c r="Q118" i="38" s="1"/>
  <c r="R118" i="38" s="1"/>
  <c r="S118" i="38" s="1"/>
  <c r="T118" i="38" s="1"/>
  <c r="U118" i="38" s="1"/>
  <c r="V118" i="38" s="1"/>
  <c r="W118" i="38" s="1"/>
  <c r="X118" i="38" s="1"/>
  <c r="Y118" i="38" s="1"/>
  <c r="Z118" i="38" s="1"/>
  <c r="AA118" i="38" s="1"/>
  <c r="AB118" i="38" s="1"/>
  <c r="AC118" i="38" s="1"/>
  <c r="AD118" i="38" s="1"/>
  <c r="AE118" i="38" s="1"/>
  <c r="AF118" i="38" s="1"/>
  <c r="AG118" i="38" s="1"/>
  <c r="AH118" i="38" s="1"/>
  <c r="AI118" i="38" s="1"/>
  <c r="AJ118" i="38" s="1"/>
  <c r="AK118" i="38" s="1"/>
  <c r="AL118" i="38" s="1"/>
  <c r="AM118" i="38" s="1"/>
  <c r="AN118" i="38" s="1"/>
  <c r="AO118" i="38" s="1"/>
  <c r="AP118" i="38" s="1"/>
  <c r="AQ118" i="38" s="1"/>
  <c r="J119" i="38"/>
  <c r="K119" i="38" s="1"/>
  <c r="L119" i="38" s="1"/>
  <c r="M119" i="38" s="1"/>
  <c r="N119" i="38" s="1"/>
  <c r="O119" i="38" s="1"/>
  <c r="P119" i="38" s="1"/>
  <c r="Q119" i="38" s="1"/>
  <c r="R119" i="38" s="1"/>
  <c r="S119" i="38" s="1"/>
  <c r="T119" i="38" s="1"/>
  <c r="U119" i="38" s="1"/>
  <c r="V119" i="38" s="1"/>
  <c r="W119" i="38" s="1"/>
  <c r="X119" i="38" s="1"/>
  <c r="Y119" i="38" s="1"/>
  <c r="Z119" i="38" s="1"/>
  <c r="AA119" i="38" s="1"/>
  <c r="AB119" i="38" s="1"/>
  <c r="AC119" i="38" s="1"/>
  <c r="AD119" i="38" s="1"/>
  <c r="AE119" i="38" s="1"/>
  <c r="AF119" i="38" s="1"/>
  <c r="AG119" i="38" s="1"/>
  <c r="AH119" i="38" s="1"/>
  <c r="AI119" i="38" s="1"/>
  <c r="AJ119" i="38" s="1"/>
  <c r="AK119" i="38" s="1"/>
  <c r="AL119" i="38" s="1"/>
  <c r="AM119" i="38" s="1"/>
  <c r="AN119" i="38" s="1"/>
  <c r="AO119" i="38" s="1"/>
  <c r="AP119" i="38" s="1"/>
  <c r="AQ119" i="38" s="1"/>
  <c r="L123" i="38"/>
  <c r="M122" i="38"/>
  <c r="O130" i="38"/>
  <c r="P116" i="38"/>
  <c r="O131" i="38"/>
  <c r="P6" i="38"/>
  <c r="Y49" i="37"/>
  <c r="Y50" i="37" s="1"/>
  <c r="S63" i="37"/>
  <c r="S64" i="37" s="1"/>
  <c r="AA38" i="37"/>
  <c r="Q38" i="37"/>
  <c r="Q49" i="37"/>
  <c r="Q50" i="37" s="1"/>
  <c r="AD95" i="37"/>
  <c r="W38" i="37"/>
  <c r="N95" i="37"/>
  <c r="Z89" i="37"/>
  <c r="AI49" i="37"/>
  <c r="AI50" i="37" s="1"/>
  <c r="AI58" i="37" s="1"/>
  <c r="U63" i="37"/>
  <c r="U64" i="37" s="1"/>
  <c r="X41" i="37"/>
  <c r="AI38" i="37"/>
  <c r="T49" i="37"/>
  <c r="T50" i="37" s="1"/>
  <c r="T58" i="37" s="1"/>
  <c r="T97" i="37" s="1"/>
  <c r="K55" i="37"/>
  <c r="K56" i="37" s="1"/>
  <c r="AG49" i="37"/>
  <c r="AG50" i="37" s="1"/>
  <c r="AG58" i="37" s="1"/>
  <c r="M63" i="37"/>
  <c r="M64" i="37" s="1"/>
  <c r="AA49" i="37"/>
  <c r="AA50" i="37" s="1"/>
  <c r="AA58" i="37" s="1"/>
  <c r="Y95" i="37"/>
  <c r="AI63" i="37"/>
  <c r="AI64" i="37" s="1"/>
  <c r="D23" i="38"/>
  <c r="C23" i="38"/>
  <c r="C24" i="38" s="1"/>
  <c r="C25" i="38" s="1"/>
  <c r="AF38" i="37"/>
  <c r="Y38" i="37"/>
  <c r="Y55" i="37"/>
  <c r="Y56" i="37" s="1"/>
  <c r="Y58" i="37" s="1"/>
  <c r="AB38" i="37"/>
  <c r="W41" i="37"/>
  <c r="K38" i="37"/>
  <c r="W55" i="37"/>
  <c r="W56" i="37" s="1"/>
  <c r="W58" i="37" s="1"/>
  <c r="K63" i="37"/>
  <c r="K64" i="37" s="1"/>
  <c r="AF49" i="37"/>
  <c r="AF50" i="37" s="1"/>
  <c r="T89" i="37"/>
  <c r="AD49" i="37"/>
  <c r="AD50" i="37" s="1"/>
  <c r="AF63" i="37"/>
  <c r="AF64" i="37" s="1"/>
  <c r="AI55" i="37"/>
  <c r="AI56" i="37" s="1"/>
  <c r="AF55" i="37"/>
  <c r="AF56" i="37" s="1"/>
  <c r="X38" i="37"/>
  <c r="Y80" i="37"/>
  <c r="Y92" i="37" s="1"/>
  <c r="AA89" i="37"/>
  <c r="AC41" i="37"/>
  <c r="AC49" i="37"/>
  <c r="AC50" i="37" s="1"/>
  <c r="AC58" i="37" s="1"/>
  <c r="X55" i="37"/>
  <c r="X56" i="37" s="1"/>
  <c r="X58" i="37" s="1"/>
  <c r="X91" i="37" s="1"/>
  <c r="S49" i="37"/>
  <c r="S50" i="37" s="1"/>
  <c r="Y41" i="37"/>
  <c r="M114" i="37"/>
  <c r="W89" i="37"/>
  <c r="U41" i="37"/>
  <c r="R55" i="37"/>
  <c r="R56" i="37" s="1"/>
  <c r="AH89" i="37"/>
  <c r="I41" i="37"/>
  <c r="L80" i="37"/>
  <c r="L98" i="37" s="1"/>
  <c r="AB41" i="37"/>
  <c r="S38" i="37"/>
  <c r="I38" i="37"/>
  <c r="U38" i="37"/>
  <c r="I55" i="37"/>
  <c r="I56" i="37" s="1"/>
  <c r="AB63" i="37"/>
  <c r="AB64" i="37" s="1"/>
  <c r="AG63" i="37"/>
  <c r="AG64" i="37" s="1"/>
  <c r="Y63" i="37"/>
  <c r="Y64" i="37" s="1"/>
  <c r="Q63" i="37"/>
  <c r="Q64" i="37" s="1"/>
  <c r="I49" i="37"/>
  <c r="I50" i="37" s="1"/>
  <c r="AB55" i="37"/>
  <c r="AB56" i="37" s="1"/>
  <c r="AB58" i="37" s="1"/>
  <c r="AG41" i="37"/>
  <c r="AJ30" i="37"/>
  <c r="S41" i="37"/>
  <c r="AG38" i="37"/>
  <c r="I63" i="37"/>
  <c r="I64" i="37" s="1"/>
  <c r="V95" i="37"/>
  <c r="V49" i="37"/>
  <c r="V50" i="37" s="1"/>
  <c r="S55" i="37"/>
  <c r="S56" i="37" s="1"/>
  <c r="U55" i="37"/>
  <c r="U56" i="37" s="1"/>
  <c r="U58" i="37" s="1"/>
  <c r="L12" i="38"/>
  <c r="K13" i="38"/>
  <c r="K95" i="37"/>
  <c r="V63" i="37"/>
  <c r="V64" i="37" s="1"/>
  <c r="AD63" i="37"/>
  <c r="AD64" i="37" s="1"/>
  <c r="AJ17" i="37"/>
  <c r="AG80" i="37"/>
  <c r="AG92" i="37" s="1"/>
  <c r="H34" i="37"/>
  <c r="H96" i="37" s="1"/>
  <c r="Z80" i="37"/>
  <c r="Z92" i="37" s="1"/>
  <c r="V80" i="37"/>
  <c r="AJ32" i="37"/>
  <c r="V41" i="37"/>
  <c r="AC80" i="37"/>
  <c r="AC92" i="37" s="1"/>
  <c r="AI80" i="37"/>
  <c r="AI98" i="37" s="1"/>
  <c r="V38" i="37"/>
  <c r="I34" i="37"/>
  <c r="I90" i="37" s="1"/>
  <c r="K34" i="37"/>
  <c r="K90" i="37" s="1"/>
  <c r="U80" i="37"/>
  <c r="U92" i="37" s="1"/>
  <c r="H80" i="37"/>
  <c r="H92" i="37" s="1"/>
  <c r="S80" i="37"/>
  <c r="S98" i="37" s="1"/>
  <c r="O58" i="37"/>
  <c r="O91" i="37" s="1"/>
  <c r="AB80" i="37"/>
  <c r="AB98" i="37" s="1"/>
  <c r="M80" i="37"/>
  <c r="M92" i="37" s="1"/>
  <c r="L97" i="37"/>
  <c r="K80" i="37"/>
  <c r="K98" i="37" s="1"/>
  <c r="N49" i="37"/>
  <c r="N50" i="37" s="1"/>
  <c r="AI89" i="37"/>
  <c r="S95" i="37"/>
  <c r="I80" i="37"/>
  <c r="I92" i="37" s="1"/>
  <c r="AD38" i="37"/>
  <c r="AD41" i="37"/>
  <c r="N38" i="37"/>
  <c r="Q80" i="37"/>
  <c r="Q98" i="37" s="1"/>
  <c r="M97" i="37"/>
  <c r="M91" i="37"/>
  <c r="P80" i="37"/>
  <c r="AH41" i="37"/>
  <c r="AH49" i="37"/>
  <c r="AH50" i="37" s="1"/>
  <c r="AH38" i="37"/>
  <c r="Z41" i="37"/>
  <c r="Z38" i="37"/>
  <c r="Z49" i="37"/>
  <c r="Z50" i="37" s="1"/>
  <c r="J24" i="37"/>
  <c r="J41" i="37"/>
  <c r="J49" i="37"/>
  <c r="J50" i="37" s="1"/>
  <c r="J38" i="37"/>
  <c r="Z63" i="37"/>
  <c r="Z64" i="37" s="1"/>
  <c r="R111" i="37"/>
  <c r="Q114" i="37"/>
  <c r="AF95" i="37"/>
  <c r="AF89" i="37"/>
  <c r="AH63" i="37"/>
  <c r="AH64" i="37" s="1"/>
  <c r="L91" i="37"/>
  <c r="AJ13" i="37"/>
  <c r="AH55" i="37"/>
  <c r="AH56" i="37" s="1"/>
  <c r="L112" i="37"/>
  <c r="K115" i="37"/>
  <c r="AJ74" i="37"/>
  <c r="P58" i="37"/>
  <c r="AJ69" i="37"/>
  <c r="Z55" i="37"/>
  <c r="Z56" i="37" s="1"/>
  <c r="K58" i="37"/>
  <c r="AF80" i="37"/>
  <c r="AD80" i="37"/>
  <c r="R80" i="37"/>
  <c r="AA80" i="37"/>
  <c r="AD55" i="37"/>
  <c r="AD56" i="37" s="1"/>
  <c r="V55" i="37"/>
  <c r="V56" i="37" s="1"/>
  <c r="N55" i="37"/>
  <c r="N56" i="37" s="1"/>
  <c r="N63" i="37"/>
  <c r="N64" i="37" s="1"/>
  <c r="J63" i="37"/>
  <c r="J64" i="37" s="1"/>
  <c r="P95" i="37"/>
  <c r="P89" i="37"/>
  <c r="Z98" i="37"/>
  <c r="R63" i="37"/>
  <c r="R64" i="37" s="1"/>
  <c r="R41" i="37"/>
  <c r="R49" i="37"/>
  <c r="R50" i="37" s="1"/>
  <c r="R38" i="37"/>
  <c r="AJ22" i="37"/>
  <c r="M6" i="37"/>
  <c r="L19" i="37"/>
  <c r="L24" i="37"/>
  <c r="N114" i="37"/>
  <c r="V98" i="37"/>
  <c r="V92" i="37"/>
  <c r="AH80" i="37"/>
  <c r="W80" i="37"/>
  <c r="L114" i="37"/>
  <c r="G115" i="37"/>
  <c r="G114" i="37"/>
  <c r="O114" i="37"/>
  <c r="H97" i="37"/>
  <c r="H91" i="37"/>
  <c r="AB95" i="37"/>
  <c r="AB89" i="37"/>
  <c r="J80" i="37"/>
  <c r="J55" i="37"/>
  <c r="J56" i="37" s="1"/>
  <c r="AE58" i="37"/>
  <c r="N80" i="37"/>
  <c r="X80" i="37"/>
  <c r="O80" i="37"/>
  <c r="AE80" i="37"/>
  <c r="P114" i="37"/>
  <c r="T80" i="37"/>
  <c r="AJ109" i="37"/>
  <c r="L95" i="37"/>
  <c r="L89" i="37"/>
  <c r="N41" i="37"/>
  <c r="C33" i="36"/>
  <c r="F16" i="36"/>
  <c r="F29" i="36" s="1"/>
  <c r="D20" i="36"/>
  <c r="G20" i="36" s="1"/>
  <c r="F24" i="36"/>
  <c r="H20" i="36"/>
  <c r="Q91" i="33"/>
  <c r="H54" i="33"/>
  <c r="E54" i="33" s="1"/>
  <c r="I62" i="33"/>
  <c r="D11" i="33"/>
  <c r="H7" i="33"/>
  <c r="H16" i="33"/>
  <c r="H20" i="33"/>
  <c r="H24" i="33"/>
  <c r="D27" i="33"/>
  <c r="H61" i="33"/>
  <c r="E62" i="33" s="1"/>
  <c r="J60" i="33" s="1"/>
  <c r="Q63" i="33"/>
  <c r="H67" i="33"/>
  <c r="H71" i="33"/>
  <c r="H75" i="33"/>
  <c r="H86" i="33"/>
  <c r="H90" i="33" s="1"/>
  <c r="E90" i="33" s="1"/>
  <c r="J86" i="33" s="1"/>
  <c r="H6" i="33"/>
  <c r="H11" i="33" s="1"/>
  <c r="E11" i="33" s="1"/>
  <c r="H15" i="33"/>
  <c r="I10" i="33"/>
  <c r="I11" i="33" s="1"/>
  <c r="F11" i="33" s="1"/>
  <c r="I19" i="33"/>
  <c r="I27" i="33" s="1"/>
  <c r="F27" i="33" s="1"/>
  <c r="I23" i="33"/>
  <c r="H31" i="33"/>
  <c r="I32" i="33"/>
  <c r="I35" i="33" s="1"/>
  <c r="F35" i="33" s="1"/>
  <c r="I53" i="33"/>
  <c r="I54" i="33" s="1"/>
  <c r="I58" i="33"/>
  <c r="I59" i="33"/>
  <c r="D62" i="33"/>
  <c r="R63" i="33" s="1"/>
  <c r="I70" i="33"/>
  <c r="I74" i="33"/>
  <c r="I79" i="33"/>
  <c r="I81" i="33" s="1"/>
  <c r="D81" i="33"/>
  <c r="D82" i="33" s="1"/>
  <c r="I89" i="33"/>
  <c r="I90" i="33" s="1"/>
  <c r="F90" i="33" s="1"/>
  <c r="D90" i="33"/>
  <c r="H33" i="33"/>
  <c r="H62" i="33"/>
  <c r="H80" i="33"/>
  <c r="H81" i="33" s="1"/>
  <c r="E81" i="33" s="1"/>
  <c r="J78" i="33" s="1"/>
  <c r="M78" i="33" s="1"/>
  <c r="I67" i="33"/>
  <c r="AC91" i="37" l="1"/>
  <c r="AC98" i="37"/>
  <c r="T91" i="37"/>
  <c r="I58" i="37"/>
  <c r="I97" i="37" s="1"/>
  <c r="X97" i="37"/>
  <c r="J28" i="38"/>
  <c r="J36" i="38" s="1"/>
  <c r="J38" i="38" s="1"/>
  <c r="J127" i="38"/>
  <c r="J135" i="38" s="1"/>
  <c r="J138" i="38" s="1"/>
  <c r="J143" i="38" s="1"/>
  <c r="J126" i="38"/>
  <c r="J134" i="38" s="1"/>
  <c r="J137" i="38" s="1"/>
  <c r="J142" i="38" s="1"/>
  <c r="D24" i="38"/>
  <c r="D25" i="38" s="1"/>
  <c r="P130" i="38"/>
  <c r="Q116" i="38"/>
  <c r="P131" i="38"/>
  <c r="M123" i="38"/>
  <c r="N122" i="38"/>
  <c r="Q6" i="38"/>
  <c r="R58" i="37"/>
  <c r="R91" i="37" s="1"/>
  <c r="AD58" i="37"/>
  <c r="Q91" i="37"/>
  <c r="AI97" i="37"/>
  <c r="Y97" i="37"/>
  <c r="AC97" i="37"/>
  <c r="H98" i="37"/>
  <c r="H94" i="37" s="1"/>
  <c r="Y91" i="37"/>
  <c r="AJ50" i="37"/>
  <c r="M98" i="37"/>
  <c r="Y98" i="37"/>
  <c r="AG98" i="37"/>
  <c r="L92" i="37"/>
  <c r="AI91" i="37"/>
  <c r="S58" i="37"/>
  <c r="AF58" i="37"/>
  <c r="I96" i="37"/>
  <c r="AB97" i="37"/>
  <c r="AB91" i="37"/>
  <c r="U97" i="37"/>
  <c r="U91" i="37"/>
  <c r="AH58" i="37"/>
  <c r="AH97" i="37" s="1"/>
  <c r="J58" i="37"/>
  <c r="J97" i="37" s="1"/>
  <c r="O97" i="37"/>
  <c r="V58" i="37"/>
  <c r="V97" i="37" s="1"/>
  <c r="Z58" i="37"/>
  <c r="Z91" i="37" s="1"/>
  <c r="H90" i="37"/>
  <c r="H88" i="37" s="1"/>
  <c r="L13" i="38"/>
  <c r="M12" i="38"/>
  <c r="AJ64" i="37"/>
  <c r="AB92" i="37"/>
  <c r="AI92" i="37"/>
  <c r="U98" i="37"/>
  <c r="N58" i="37"/>
  <c r="N91" i="37" s="1"/>
  <c r="AJ41" i="37"/>
  <c r="H83" i="37"/>
  <c r="K96" i="37"/>
  <c r="I88" i="37"/>
  <c r="I83" i="37"/>
  <c r="I98" i="37"/>
  <c r="I91" i="37"/>
  <c r="Q92" i="37"/>
  <c r="S92" i="37"/>
  <c r="K92" i="37"/>
  <c r="AJ38" i="37"/>
  <c r="N98" i="37"/>
  <c r="N92" i="37"/>
  <c r="J98" i="37"/>
  <c r="J92" i="37"/>
  <c r="V91" i="37"/>
  <c r="Z97" i="37"/>
  <c r="AJ89" i="37"/>
  <c r="S111" i="37"/>
  <c r="R114" i="37"/>
  <c r="T92" i="37"/>
  <c r="T98" i="37"/>
  <c r="AE92" i="37"/>
  <c r="AE98" i="37"/>
  <c r="W91" i="37"/>
  <c r="W97" i="37"/>
  <c r="N6" i="37"/>
  <c r="M24" i="37"/>
  <c r="M19" i="37"/>
  <c r="AD97" i="37"/>
  <c r="AD91" i="37"/>
  <c r="AF98" i="37"/>
  <c r="AF92" i="37"/>
  <c r="P91" i="37"/>
  <c r="P97" i="37"/>
  <c r="R97" i="37"/>
  <c r="O92" i="37"/>
  <c r="O98" i="37"/>
  <c r="AE97" i="37"/>
  <c r="AE91" i="37"/>
  <c r="W92" i="37"/>
  <c r="W98" i="37"/>
  <c r="AJ80" i="37"/>
  <c r="AA98" i="37"/>
  <c r="AA92" i="37"/>
  <c r="R98" i="37"/>
  <c r="R92" i="37"/>
  <c r="K91" i="37"/>
  <c r="K97" i="37"/>
  <c r="AJ56" i="37"/>
  <c r="M112" i="37"/>
  <c r="L115" i="37"/>
  <c r="J34" i="37"/>
  <c r="X92" i="37"/>
  <c r="X98" i="37"/>
  <c r="AH98" i="37"/>
  <c r="AH92" i="37"/>
  <c r="AA91" i="37"/>
  <c r="AA97" i="37"/>
  <c r="L34" i="37"/>
  <c r="AJ95" i="37"/>
  <c r="AG97" i="37"/>
  <c r="AG91" i="37"/>
  <c r="K83" i="37"/>
  <c r="AD98" i="37"/>
  <c r="AD92" i="37"/>
  <c r="P98" i="37"/>
  <c r="P92" i="37"/>
  <c r="J20" i="36"/>
  <c r="O86" i="33"/>
  <c r="M86" i="33"/>
  <c r="J51" i="33"/>
  <c r="R91" i="33"/>
  <c r="M60" i="33"/>
  <c r="P60" i="33"/>
  <c r="O60" i="33"/>
  <c r="S60" i="33" s="1"/>
  <c r="Q82" i="33"/>
  <c r="H35" i="33"/>
  <c r="E35" i="33" s="1"/>
  <c r="H27" i="33"/>
  <c r="E27" i="33" s="1"/>
  <c r="D63" i="33"/>
  <c r="E63" i="33" s="1"/>
  <c r="I77" i="33"/>
  <c r="H77" i="33"/>
  <c r="E77" i="33" s="1"/>
  <c r="K88" i="37" l="1"/>
  <c r="J144" i="38"/>
  <c r="Q131" i="38"/>
  <c r="Q130" i="38"/>
  <c r="R116" i="38"/>
  <c r="O122" i="38"/>
  <c r="N123" i="38"/>
  <c r="R6" i="38"/>
  <c r="I94" i="37"/>
  <c r="AH91" i="37"/>
  <c r="AF91" i="37"/>
  <c r="AF97" i="37"/>
  <c r="N97" i="37"/>
  <c r="AJ58" i="37"/>
  <c r="S97" i="37"/>
  <c r="S91" i="37"/>
  <c r="J91" i="37"/>
  <c r="J83" i="37"/>
  <c r="M13" i="38"/>
  <c r="N12" i="38"/>
  <c r="K94" i="37"/>
  <c r="AJ92" i="37"/>
  <c r="AJ98" i="37"/>
  <c r="L96" i="37"/>
  <c r="L94" i="37" s="1"/>
  <c r="L90" i="37"/>
  <c r="L88" i="37" s="1"/>
  <c r="L83" i="37"/>
  <c r="O6" i="37"/>
  <c r="N19" i="37"/>
  <c r="N24" i="37"/>
  <c r="T111" i="37"/>
  <c r="S114" i="37"/>
  <c r="J90" i="37"/>
  <c r="J96" i="37"/>
  <c r="N112" i="37"/>
  <c r="M115" i="37"/>
  <c r="M34" i="37"/>
  <c r="P51" i="33"/>
  <c r="O51" i="33"/>
  <c r="S51" i="33" s="1"/>
  <c r="S63" i="33" s="1"/>
  <c r="M51" i="33"/>
  <c r="E82" i="33"/>
  <c r="J67" i="33"/>
  <c r="R82" i="33"/>
  <c r="S86" i="33"/>
  <c r="P86" i="33"/>
  <c r="AJ91" i="37" l="1"/>
  <c r="O123" i="38"/>
  <c r="P122" i="38"/>
  <c r="R131" i="38"/>
  <c r="R130" i="38"/>
  <c r="S116" i="38"/>
  <c r="S6" i="38"/>
  <c r="AJ97" i="37"/>
  <c r="N13" i="38"/>
  <c r="O12" i="38"/>
  <c r="O112" i="37"/>
  <c r="N115" i="37"/>
  <c r="P6" i="37"/>
  <c r="O19" i="37"/>
  <c r="O24" i="37"/>
  <c r="M96" i="37"/>
  <c r="M94" i="37" s="1"/>
  <c r="M90" i="37"/>
  <c r="M88" i="37" s="1"/>
  <c r="M83" i="37"/>
  <c r="U111" i="37"/>
  <c r="T114" i="37"/>
  <c r="J94" i="37"/>
  <c r="N34" i="37"/>
  <c r="J88" i="37"/>
  <c r="O67" i="33"/>
  <c r="M67" i="33"/>
  <c r="Q122" i="38" l="1"/>
  <c r="P123" i="38"/>
  <c r="S131" i="38"/>
  <c r="S130" i="38"/>
  <c r="T116" i="38"/>
  <c r="T6" i="38"/>
  <c r="O34" i="37"/>
  <c r="O96" i="37" s="1"/>
  <c r="O94" i="37" s="1"/>
  <c r="P12" i="38"/>
  <c r="O13" i="38"/>
  <c r="Q6" i="37"/>
  <c r="P19" i="37"/>
  <c r="P24" i="37"/>
  <c r="N96" i="37"/>
  <c r="N94" i="37" s="1"/>
  <c r="N90" i="37"/>
  <c r="N88" i="37" s="1"/>
  <c r="N83" i="37"/>
  <c r="V111" i="37"/>
  <c r="U114" i="37"/>
  <c r="P112" i="37"/>
  <c r="O115" i="37"/>
  <c r="S67" i="33"/>
  <c r="S82" i="33" s="1"/>
  <c r="P67" i="33"/>
  <c r="O83" i="37" l="1"/>
  <c r="T130" i="38"/>
  <c r="U116" i="38"/>
  <c r="T131" i="38"/>
  <c r="Q123" i="38"/>
  <c r="R122" i="38"/>
  <c r="U6" i="38"/>
  <c r="O90" i="37"/>
  <c r="O88" i="37" s="1"/>
  <c r="P13" i="38"/>
  <c r="Q12" i="38"/>
  <c r="P34" i="37"/>
  <c r="P90" i="37" s="1"/>
  <c r="P88" i="37" s="1"/>
  <c r="Q112" i="37"/>
  <c r="P115" i="37"/>
  <c r="W111" i="37"/>
  <c r="V114" i="37"/>
  <c r="R6" i="37"/>
  <c r="Q24" i="37"/>
  <c r="Q19" i="37"/>
  <c r="E39" i="32"/>
  <c r="E40" i="32" s="1"/>
  <c r="D39" i="32"/>
  <c r="D40" i="32" s="1"/>
  <c r="E33" i="32"/>
  <c r="E34" i="32" s="1"/>
  <c r="D33" i="32"/>
  <c r="D34" i="32" s="1"/>
  <c r="U131" i="38" l="1"/>
  <c r="V116" i="38"/>
  <c r="U130" i="38"/>
  <c r="R123" i="38"/>
  <c r="S122" i="38"/>
  <c r="V6" i="38"/>
  <c r="Q13" i="38"/>
  <c r="R12" i="38"/>
  <c r="Q34" i="37"/>
  <c r="Q83" i="37" s="1"/>
  <c r="P96" i="37"/>
  <c r="P94" i="37" s="1"/>
  <c r="P83" i="37"/>
  <c r="X111" i="37"/>
  <c r="W114" i="37"/>
  <c r="S6" i="37"/>
  <c r="R19" i="37"/>
  <c r="R24" i="37"/>
  <c r="R112" i="37"/>
  <c r="Q115" i="37"/>
  <c r="C53" i="29"/>
  <c r="C98" i="29" s="1"/>
  <c r="D53" i="29"/>
  <c r="D98" i="29" s="1"/>
  <c r="B124" i="29"/>
  <c r="B118" i="29"/>
  <c r="B119" i="29"/>
  <c r="C119" i="29"/>
  <c r="B120" i="29"/>
  <c r="C120" i="29"/>
  <c r="B121" i="29"/>
  <c r="C121" i="29"/>
  <c r="B116" i="29"/>
  <c r="B117" i="29"/>
  <c r="D106" i="29"/>
  <c r="D107" i="29"/>
  <c r="B108" i="29"/>
  <c r="D108" i="29"/>
  <c r="B109" i="29"/>
  <c r="C109" i="29"/>
  <c r="D109" i="29"/>
  <c r="B111" i="29"/>
  <c r="B113" i="29"/>
  <c r="B114" i="29"/>
  <c r="B115" i="29"/>
  <c r="B105" i="29"/>
  <c r="D103" i="29"/>
  <c r="D102" i="29"/>
  <c r="D101" i="29"/>
  <c r="C102" i="29"/>
  <c r="C103" i="29"/>
  <c r="C104" i="29"/>
  <c r="C101" i="29"/>
  <c r="B102" i="29"/>
  <c r="B103" i="29"/>
  <c r="B104" i="29"/>
  <c r="B101" i="29"/>
  <c r="B99" i="29"/>
  <c r="B92" i="29"/>
  <c r="C92" i="29"/>
  <c r="D92" i="29"/>
  <c r="B93" i="29"/>
  <c r="D93" i="29"/>
  <c r="D94" i="29"/>
  <c r="B95" i="29"/>
  <c r="D95" i="29"/>
  <c r="B96" i="29"/>
  <c r="B87" i="29"/>
  <c r="D87" i="29"/>
  <c r="B89" i="29"/>
  <c r="D89" i="29"/>
  <c r="B90" i="29"/>
  <c r="D90" i="29"/>
  <c r="C70" i="29"/>
  <c r="C69" i="29"/>
  <c r="G30" i="28"/>
  <c r="G29" i="28"/>
  <c r="G28" i="28"/>
  <c r="G27" i="28"/>
  <c r="G26" i="28"/>
  <c r="G25" i="28"/>
  <c r="G24" i="28"/>
  <c r="G23" i="28"/>
  <c r="G22" i="28"/>
  <c r="G21" i="28"/>
  <c r="G20" i="28"/>
  <c r="G19" i="28"/>
  <c r="G18" i="28"/>
  <c r="G17" i="28"/>
  <c r="G16" i="28"/>
  <c r="G15" i="28"/>
  <c r="G14" i="28"/>
  <c r="G13" i="28"/>
  <c r="G12" i="28"/>
  <c r="G11" i="28"/>
  <c r="G10" i="28"/>
  <c r="G31" i="1"/>
  <c r="G30" i="1"/>
  <c r="G29" i="1"/>
  <c r="G28" i="1"/>
  <c r="G27" i="1"/>
  <c r="G26" i="1"/>
  <c r="G25" i="1"/>
  <c r="G24" i="1"/>
  <c r="G23" i="1"/>
  <c r="G22" i="1"/>
  <c r="G21" i="1"/>
  <c r="G20" i="1"/>
  <c r="G19" i="1"/>
  <c r="G18" i="1"/>
  <c r="G17" i="1"/>
  <c r="G16" i="1"/>
  <c r="G15" i="1"/>
  <c r="G14" i="1"/>
  <c r="G13" i="1"/>
  <c r="G12" i="1"/>
  <c r="G33" i="1" s="1"/>
  <c r="C8" i="26" s="1"/>
  <c r="G11" i="1"/>
  <c r="D78" i="29"/>
  <c r="B81" i="29"/>
  <c r="B82" i="29"/>
  <c r="B83" i="29"/>
  <c r="B85" i="29"/>
  <c r="B75" i="29"/>
  <c r="C75" i="29"/>
  <c r="D75" i="29"/>
  <c r="B76" i="29"/>
  <c r="C76" i="29"/>
  <c r="D76" i="29"/>
  <c r="B74" i="29"/>
  <c r="C74" i="29"/>
  <c r="D74" i="29"/>
  <c r="B72" i="29"/>
  <c r="C68" i="29"/>
  <c r="D68" i="29"/>
  <c r="B69" i="29"/>
  <c r="B70" i="29"/>
  <c r="B67" i="29"/>
  <c r="C67" i="29"/>
  <c r="D67" i="29"/>
  <c r="B65" i="29"/>
  <c r="B61" i="29"/>
  <c r="B63" i="29"/>
  <c r="D63" i="29"/>
  <c r="B54" i="29"/>
  <c r="B56" i="29"/>
  <c r="B57" i="29"/>
  <c r="B59" i="29"/>
  <c r="D59" i="29"/>
  <c r="D46" i="29"/>
  <c r="D47" i="29"/>
  <c r="D36" i="29"/>
  <c r="D37" i="29"/>
  <c r="D38" i="29"/>
  <c r="B50" i="29"/>
  <c r="B51" i="29"/>
  <c r="B48" i="29"/>
  <c r="B49" i="29"/>
  <c r="B42" i="29"/>
  <c r="B44" i="29"/>
  <c r="B45" i="29"/>
  <c r="B39" i="29"/>
  <c r="B40" i="29"/>
  <c r="B41" i="29"/>
  <c r="D33" i="29"/>
  <c r="D32" i="29"/>
  <c r="B31" i="29"/>
  <c r="B32" i="29"/>
  <c r="C32" i="29"/>
  <c r="B33" i="29"/>
  <c r="C33" i="29"/>
  <c r="B35" i="29"/>
  <c r="B36" i="29"/>
  <c r="B28" i="29"/>
  <c r="B29" i="29"/>
  <c r="B22" i="29"/>
  <c r="D22" i="29"/>
  <c r="B23" i="29"/>
  <c r="B24" i="29"/>
  <c r="B26" i="29"/>
  <c r="B27" i="29"/>
  <c r="D27" i="29"/>
  <c r="B19" i="29"/>
  <c r="B21" i="29"/>
  <c r="B13" i="29"/>
  <c r="B15" i="29"/>
  <c r="B16" i="29"/>
  <c r="B17" i="29"/>
  <c r="C17" i="29"/>
  <c r="D17" i="29"/>
  <c r="B18" i="29"/>
  <c r="C18" i="29"/>
  <c r="D8" i="2"/>
  <c r="C128" i="2" s="1"/>
  <c r="B9" i="29"/>
  <c r="C9" i="29"/>
  <c r="B11" i="29"/>
  <c r="D11" i="29"/>
  <c r="D7" i="29"/>
  <c r="D9" i="29" s="1"/>
  <c r="D117" i="29" s="1"/>
  <c r="C7" i="29"/>
  <c r="B7" i="29"/>
  <c r="R10" i="1"/>
  <c r="R9" i="1"/>
  <c r="R8" i="1"/>
  <c r="O30" i="28"/>
  <c r="O29" i="28"/>
  <c r="O28" i="28"/>
  <c r="O27" i="28"/>
  <c r="O26" i="28"/>
  <c r="O25" i="28"/>
  <c r="O24" i="28"/>
  <c r="O23" i="28"/>
  <c r="O22" i="28"/>
  <c r="O21" i="28"/>
  <c r="O20" i="28"/>
  <c r="O19" i="28"/>
  <c r="O18" i="28"/>
  <c r="O17" i="28"/>
  <c r="O16" i="28"/>
  <c r="O15" i="28"/>
  <c r="O14" i="28"/>
  <c r="O13" i="28"/>
  <c r="O12" i="28"/>
  <c r="O11" i="28"/>
  <c r="O10" i="28"/>
  <c r="O9" i="28"/>
  <c r="O8" i="28"/>
  <c r="O7" i="28"/>
  <c r="B7" i="28"/>
  <c r="D7" i="28" s="1"/>
  <c r="O6" i="28"/>
  <c r="B6" i="28"/>
  <c r="D6" i="28" s="1"/>
  <c r="D6" i="23"/>
  <c r="D4" i="23"/>
  <c r="D8" i="23" s="1"/>
  <c r="B102" i="2" s="1"/>
  <c r="D5" i="23"/>
  <c r="D7" i="23"/>
  <c r="C8" i="23"/>
  <c r="C18" i="23" s="1"/>
  <c r="E15" i="23"/>
  <c r="B129" i="2"/>
  <c r="R31" i="1"/>
  <c r="C39" i="22"/>
  <c r="C40" i="22" s="1"/>
  <c r="C41" i="22" s="1"/>
  <c r="C42" i="22" s="1"/>
  <c r="C36" i="22" s="1"/>
  <c r="C35" i="22" s="1"/>
  <c r="C34" i="22" s="1"/>
  <c r="C33" i="22" s="1"/>
  <c r="C32" i="22" s="1"/>
  <c r="C31" i="22" s="1"/>
  <c r="C30" i="22" s="1"/>
  <c r="C29" i="22" s="1"/>
  <c r="C28" i="22" s="1"/>
  <c r="C27" i="22" s="1"/>
  <c r="D40" i="22"/>
  <c r="D41" i="22" s="1"/>
  <c r="D42" i="22"/>
  <c r="D36" i="22" s="1"/>
  <c r="D35" i="22" s="1"/>
  <c r="D34" i="22" s="1"/>
  <c r="D33" i="22" s="1"/>
  <c r="D32" i="22" s="1"/>
  <c r="D31" i="22" s="1"/>
  <c r="D30" i="22" s="1"/>
  <c r="D29" i="22" s="1"/>
  <c r="D28" i="22" s="1"/>
  <c r="D27" i="22" s="1"/>
  <c r="D26" i="22" s="1"/>
  <c r="D25" i="22" s="1"/>
  <c r="D24" i="22" s="1"/>
  <c r="D23" i="22" s="1"/>
  <c r="D22" i="22" s="1"/>
  <c r="C38" i="22"/>
  <c r="D38" i="22"/>
  <c r="D39" i="22" s="1"/>
  <c r="B37" i="22"/>
  <c r="G37" i="22" s="1"/>
  <c r="B8" i="1"/>
  <c r="D8" i="1" s="1"/>
  <c r="B7" i="1"/>
  <c r="D7" i="1" s="1"/>
  <c r="B19" i="20"/>
  <c r="F28" i="8"/>
  <c r="F29" i="8" s="1"/>
  <c r="C46" i="2"/>
  <c r="D45" i="29" s="1"/>
  <c r="D25" i="27"/>
  <c r="D34" i="27"/>
  <c r="D39" i="27"/>
  <c r="D16" i="27"/>
  <c r="F128" i="2"/>
  <c r="J128" i="2" s="1"/>
  <c r="E128" i="2" s="1"/>
  <c r="H23" i="25"/>
  <c r="I23" i="25" s="1"/>
  <c r="H7" i="25"/>
  <c r="H8" i="25" s="1"/>
  <c r="H9" i="25" s="1"/>
  <c r="G24" i="25"/>
  <c r="G25" i="25"/>
  <c r="G16" i="25"/>
  <c r="G17" i="25"/>
  <c r="G18" i="25"/>
  <c r="G19" i="25"/>
  <c r="G20" i="25"/>
  <c r="G15" i="25"/>
  <c r="C6" i="25"/>
  <c r="C5" i="25"/>
  <c r="C4" i="25"/>
  <c r="C7" i="25"/>
  <c r="F26" i="25"/>
  <c r="F21" i="25"/>
  <c r="G9" i="24"/>
  <c r="H9" i="24" s="1"/>
  <c r="V13" i="14"/>
  <c r="V7" i="14"/>
  <c r="E21" i="25"/>
  <c r="E26" i="25"/>
  <c r="G26" i="25" s="1"/>
  <c r="F14" i="24"/>
  <c r="E12" i="24"/>
  <c r="F12" i="24" s="1"/>
  <c r="E13" i="24"/>
  <c r="F13" i="24" s="1"/>
  <c r="E14" i="24"/>
  <c r="E11" i="24"/>
  <c r="F11" i="24" s="1"/>
  <c r="B7" i="18"/>
  <c r="B8" i="18" s="1"/>
  <c r="B9" i="18" s="1"/>
  <c r="B10" i="18" s="1"/>
  <c r="D22" i="12"/>
  <c r="F22" i="12"/>
  <c r="D14" i="21"/>
  <c r="E12" i="21"/>
  <c r="E13" i="21"/>
  <c r="E11" i="21"/>
  <c r="D11" i="21"/>
  <c r="E8" i="21"/>
  <c r="E9" i="21"/>
  <c r="E10" i="21"/>
  <c r="D9" i="21"/>
  <c r="D10" i="21"/>
  <c r="D8" i="21"/>
  <c r="E6" i="21"/>
  <c r="E7" i="21"/>
  <c r="D7" i="21"/>
  <c r="D6" i="21"/>
  <c r="E4" i="21"/>
  <c r="E5" i="21"/>
  <c r="D5" i="21"/>
  <c r="D4" i="21"/>
  <c r="B36" i="20"/>
  <c r="B38" i="20" s="1"/>
  <c r="C7" i="18"/>
  <c r="D7" i="18"/>
  <c r="D8" i="18" s="1"/>
  <c r="D9" i="18" s="1"/>
  <c r="D10" i="18" s="1"/>
  <c r="D11" i="18" s="1"/>
  <c r="D12" i="18" s="1"/>
  <c r="D13" i="18" s="1"/>
  <c r="D14" i="18" s="1"/>
  <c r="D15" i="18" s="1"/>
  <c r="D16" i="18" s="1"/>
  <c r="D17" i="18" s="1"/>
  <c r="E7" i="18"/>
  <c r="E8" i="18" s="1"/>
  <c r="E9" i="18" s="1"/>
  <c r="E10" i="18" s="1"/>
  <c r="E11" i="18" s="1"/>
  <c r="E12" i="18" s="1"/>
  <c r="E13" i="18" s="1"/>
  <c r="E14" i="18" s="1"/>
  <c r="E15" i="18" s="1"/>
  <c r="E16" i="18" s="1"/>
  <c r="E17" i="18" s="1"/>
  <c r="F7" i="18"/>
  <c r="F8" i="18" s="1"/>
  <c r="F9" i="18" s="1"/>
  <c r="F10" i="18" s="1"/>
  <c r="F11" i="18" s="1"/>
  <c r="F12" i="18" s="1"/>
  <c r="F13" i="18" s="1"/>
  <c r="F14" i="18" s="1"/>
  <c r="F15" i="18" s="1"/>
  <c r="F16" i="18" s="1"/>
  <c r="F17" i="18" s="1"/>
  <c r="G7" i="18"/>
  <c r="G8" i="18" s="1"/>
  <c r="G9" i="18" s="1"/>
  <c r="G10" i="18" s="1"/>
  <c r="G11" i="18" s="1"/>
  <c r="G12" i="18" s="1"/>
  <c r="G13" i="18" s="1"/>
  <c r="I7" i="18"/>
  <c r="I8" i="18" s="1"/>
  <c r="I9" i="18" s="1"/>
  <c r="I10" i="18" s="1"/>
  <c r="I11" i="18" s="1"/>
  <c r="I12" i="18" s="1"/>
  <c r="I13" i="18" s="1"/>
  <c r="I14" i="18" s="1"/>
  <c r="I15" i="18" s="1"/>
  <c r="I16" i="18" s="1"/>
  <c r="I17" i="18" s="1"/>
  <c r="J7" i="18"/>
  <c r="J8" i="18" s="1"/>
  <c r="J9" i="18" s="1"/>
  <c r="J10" i="18" s="1"/>
  <c r="J11" i="18" s="1"/>
  <c r="J12" i="18" s="1"/>
  <c r="J13" i="18" s="1"/>
  <c r="J14" i="18" s="1"/>
  <c r="J15" i="18" s="1"/>
  <c r="J16" i="18" s="1"/>
  <c r="J17" i="18" s="1"/>
  <c r="K7" i="18"/>
  <c r="K8" i="18" s="1"/>
  <c r="K9" i="18" s="1"/>
  <c r="K10" i="18" s="1"/>
  <c r="K11" i="18" s="1"/>
  <c r="K12" i="18" s="1"/>
  <c r="K13" i="18" s="1"/>
  <c r="K14" i="18" s="1"/>
  <c r="K15" i="18" s="1"/>
  <c r="K16" i="18" s="1"/>
  <c r="K17" i="18" s="1"/>
  <c r="C8" i="18"/>
  <c r="C9" i="18" s="1"/>
  <c r="C10" i="18" s="1"/>
  <c r="C11" i="18" s="1"/>
  <c r="C12" i="18" s="1"/>
  <c r="C13" i="18" s="1"/>
  <c r="C14" i="18" s="1"/>
  <c r="C15" i="18" s="1"/>
  <c r="C16" i="18" s="1"/>
  <c r="C17" i="18" s="1"/>
  <c r="G14" i="18"/>
  <c r="G15" i="18" s="1"/>
  <c r="G16" i="18" s="1"/>
  <c r="G17" i="18" s="1"/>
  <c r="B9" i="20"/>
  <c r="I7" i="19"/>
  <c r="I8" i="19" s="1"/>
  <c r="I9" i="19" s="1"/>
  <c r="I10" i="19" s="1"/>
  <c r="I11" i="19" s="1"/>
  <c r="I12" i="19" s="1"/>
  <c r="I13" i="19" s="1"/>
  <c r="I14" i="19" s="1"/>
  <c r="I15" i="19" s="1"/>
  <c r="I16" i="19" s="1"/>
  <c r="I17" i="19" s="1"/>
  <c r="I18" i="19" s="1"/>
  <c r="J7" i="19"/>
  <c r="K7" i="19"/>
  <c r="K8" i="19" s="1"/>
  <c r="K9" i="19" s="1"/>
  <c r="K10" i="19" s="1"/>
  <c r="K11" i="19" s="1"/>
  <c r="K12" i="19" s="1"/>
  <c r="K13" i="19" s="1"/>
  <c r="K14" i="19" s="1"/>
  <c r="K15" i="19" s="1"/>
  <c r="K16" i="19" s="1"/>
  <c r="K17" i="19" s="1"/>
  <c r="K18" i="19" s="1"/>
  <c r="J8" i="19"/>
  <c r="J9" i="19" s="1"/>
  <c r="J10" i="19" s="1"/>
  <c r="J11" i="19" s="1"/>
  <c r="J12" i="19" s="1"/>
  <c r="J13" i="19" s="1"/>
  <c r="J14" i="19" s="1"/>
  <c r="J15" i="19" s="1"/>
  <c r="J16" i="19" s="1"/>
  <c r="J17" i="19" s="1"/>
  <c r="J18" i="19" s="1"/>
  <c r="C7" i="19"/>
  <c r="C8" i="19" s="1"/>
  <c r="C9" i="19" s="1"/>
  <c r="C10" i="19" s="1"/>
  <c r="C11" i="19" s="1"/>
  <c r="C12" i="19" s="1"/>
  <c r="C13" i="19" s="1"/>
  <c r="C14" i="19" s="1"/>
  <c r="C15" i="19" s="1"/>
  <c r="C16" i="19" s="1"/>
  <c r="C17" i="19" s="1"/>
  <c r="C18" i="19" s="1"/>
  <c r="D7" i="19"/>
  <c r="D8" i="19" s="1"/>
  <c r="D9" i="19" s="1"/>
  <c r="D10" i="19" s="1"/>
  <c r="D11" i="19" s="1"/>
  <c r="D12" i="19" s="1"/>
  <c r="D13" i="19" s="1"/>
  <c r="D14" i="19" s="1"/>
  <c r="D15" i="19" s="1"/>
  <c r="D16" i="19" s="1"/>
  <c r="D17" i="19" s="1"/>
  <c r="D18" i="19" s="1"/>
  <c r="E7" i="19"/>
  <c r="E8" i="19" s="1"/>
  <c r="E9" i="19" s="1"/>
  <c r="E10" i="19" s="1"/>
  <c r="E11" i="19" s="1"/>
  <c r="E12" i="19" s="1"/>
  <c r="E13" i="19" s="1"/>
  <c r="E14" i="19" s="1"/>
  <c r="E15" i="19" s="1"/>
  <c r="E16" i="19" s="1"/>
  <c r="E17" i="19" s="1"/>
  <c r="E18" i="19" s="1"/>
  <c r="F7" i="19"/>
  <c r="F8" i="19" s="1"/>
  <c r="F9" i="19" s="1"/>
  <c r="F10" i="19" s="1"/>
  <c r="F11" i="19" s="1"/>
  <c r="F12" i="19" s="1"/>
  <c r="F13" i="19" s="1"/>
  <c r="F14" i="19" s="1"/>
  <c r="F15" i="19" s="1"/>
  <c r="F16" i="19" s="1"/>
  <c r="F17" i="19" s="1"/>
  <c r="F18" i="19" s="1"/>
  <c r="G7" i="19"/>
  <c r="G8" i="19" s="1"/>
  <c r="G9" i="19" s="1"/>
  <c r="G10" i="19" s="1"/>
  <c r="G11" i="19" s="1"/>
  <c r="G12" i="19" s="1"/>
  <c r="G13" i="19" s="1"/>
  <c r="G14" i="19" s="1"/>
  <c r="G15" i="19" s="1"/>
  <c r="G16" i="19" s="1"/>
  <c r="G17" i="19" s="1"/>
  <c r="G18" i="19" s="1"/>
  <c r="H7" i="19"/>
  <c r="H8" i="19" s="1"/>
  <c r="H9" i="19" s="1"/>
  <c r="H10" i="19" s="1"/>
  <c r="H11" i="19" s="1"/>
  <c r="H12" i="19" s="1"/>
  <c r="H13" i="19" s="1"/>
  <c r="H14" i="19" s="1"/>
  <c r="H15" i="19" s="1"/>
  <c r="H16" i="19" s="1"/>
  <c r="H17" i="19" s="1"/>
  <c r="H18" i="19" s="1"/>
  <c r="B7" i="19"/>
  <c r="B8" i="19"/>
  <c r="B9" i="19" s="1"/>
  <c r="B10" i="19" s="1"/>
  <c r="B11" i="19" s="1"/>
  <c r="B12" i="19" s="1"/>
  <c r="B13" i="19" s="1"/>
  <c r="B14" i="19" s="1"/>
  <c r="B15" i="19" s="1"/>
  <c r="B16" i="19" s="1"/>
  <c r="B17" i="19" s="1"/>
  <c r="B18" i="19" s="1"/>
  <c r="L35" i="19"/>
  <c r="H35" i="19"/>
  <c r="L5" i="19"/>
  <c r="H38" i="8"/>
  <c r="H37" i="8"/>
  <c r="H30" i="8"/>
  <c r="J17" i="8"/>
  <c r="C37" i="8"/>
  <c r="C38" i="8" s="1"/>
  <c r="D36" i="8"/>
  <c r="L8" i="8"/>
  <c r="F7" i="8"/>
  <c r="G7" i="8" s="1"/>
  <c r="C13" i="12"/>
  <c r="C26" i="12"/>
  <c r="L5" i="18"/>
  <c r="E26" i="12"/>
  <c r="E13" i="12"/>
  <c r="H26" i="12" s="1"/>
  <c r="D26" i="12"/>
  <c r="D13" i="12"/>
  <c r="H35" i="18"/>
  <c r="H7" i="18" s="1"/>
  <c r="L7" i="18" s="1"/>
  <c r="D35" i="12"/>
  <c r="D39" i="12" s="1"/>
  <c r="J9" i="13"/>
  <c r="I9" i="13"/>
  <c r="H9" i="13"/>
  <c r="G8" i="13"/>
  <c r="F8" i="13"/>
  <c r="E8" i="13"/>
  <c r="D8" i="13"/>
  <c r="J8" i="13"/>
  <c r="C8" i="13"/>
  <c r="I8" i="13" s="1"/>
  <c r="B8" i="13"/>
  <c r="H8" i="13"/>
  <c r="J7" i="13"/>
  <c r="I7" i="13"/>
  <c r="H7" i="13"/>
  <c r="J6" i="13"/>
  <c r="I6" i="13"/>
  <c r="H6" i="13"/>
  <c r="J5" i="13"/>
  <c r="I5" i="13"/>
  <c r="H5" i="13"/>
  <c r="G38" i="12"/>
  <c r="E38" i="12"/>
  <c r="D38" i="12"/>
  <c r="C38" i="12"/>
  <c r="G37" i="12"/>
  <c r="E37" i="12"/>
  <c r="D37" i="12"/>
  <c r="C37" i="12"/>
  <c r="G36" i="12"/>
  <c r="E36" i="12"/>
  <c r="D36" i="12"/>
  <c r="C36" i="12"/>
  <c r="G35" i="12"/>
  <c r="E35" i="12"/>
  <c r="C35" i="12"/>
  <c r="G34" i="12"/>
  <c r="E34" i="12"/>
  <c r="D34" i="12"/>
  <c r="C34" i="12"/>
  <c r="G33" i="12"/>
  <c r="E33" i="12"/>
  <c r="D33" i="12"/>
  <c r="C33" i="12"/>
  <c r="G32" i="12"/>
  <c r="E32" i="12"/>
  <c r="D32" i="12"/>
  <c r="C32" i="12"/>
  <c r="G31" i="12"/>
  <c r="E31" i="12"/>
  <c r="D31" i="12"/>
  <c r="C31" i="12"/>
  <c r="G30" i="12"/>
  <c r="E30" i="12"/>
  <c r="D30" i="12"/>
  <c r="C30" i="12"/>
  <c r="G29" i="12"/>
  <c r="E29" i="12"/>
  <c r="E39" i="12" s="1"/>
  <c r="D29" i="12"/>
  <c r="C29" i="12"/>
  <c r="C39" i="12" s="1"/>
  <c r="F25" i="12"/>
  <c r="F24" i="12"/>
  <c r="F23" i="12"/>
  <c r="F36" i="12" s="1"/>
  <c r="F21" i="12"/>
  <c r="F20" i="12"/>
  <c r="F19" i="12"/>
  <c r="F18" i="12"/>
  <c r="F17" i="12"/>
  <c r="F16" i="12"/>
  <c r="F12" i="12"/>
  <c r="F38" i="12" s="1"/>
  <c r="F11" i="12"/>
  <c r="F10" i="12"/>
  <c r="F9" i="12"/>
  <c r="F8" i="12"/>
  <c r="F34" i="12"/>
  <c r="F7" i="12"/>
  <c r="F33" i="12" s="1"/>
  <c r="F6" i="12"/>
  <c r="F5" i="12"/>
  <c r="F4" i="12"/>
  <c r="F30" i="12" s="1"/>
  <c r="F3" i="12"/>
  <c r="I2" i="5"/>
  <c r="C13" i="11"/>
  <c r="C12" i="11"/>
  <c r="L10" i="11"/>
  <c r="L9" i="11"/>
  <c r="L8" i="11"/>
  <c r="H8" i="11"/>
  <c r="K8" i="11" s="1"/>
  <c r="L7" i="11"/>
  <c r="L6" i="11"/>
  <c r="H6" i="11"/>
  <c r="H14" i="11" s="1"/>
  <c r="L5" i="11"/>
  <c r="L4" i="11"/>
  <c r="I2" i="11"/>
  <c r="C2" i="9"/>
  <c r="C4" i="9" s="1"/>
  <c r="C9" i="9" s="1"/>
  <c r="C3" i="9"/>
  <c r="C5" i="9"/>
  <c r="L5" i="8"/>
  <c r="M7" i="8"/>
  <c r="M8" i="8"/>
  <c r="N8" i="8" s="1"/>
  <c r="O8" i="8" s="1"/>
  <c r="D9" i="8"/>
  <c r="D29" i="8" s="1"/>
  <c r="D39" i="8" s="1"/>
  <c r="G9" i="8"/>
  <c r="J9" i="8" s="1"/>
  <c r="K9" i="8" s="1"/>
  <c r="P9" i="8" s="1"/>
  <c r="M9" i="8"/>
  <c r="N9" i="8"/>
  <c r="O9" i="8" s="1"/>
  <c r="G10" i="8"/>
  <c r="J10" i="8" s="1"/>
  <c r="K10" i="8" s="1"/>
  <c r="M10" i="8"/>
  <c r="N10" i="8"/>
  <c r="N11" i="8" s="1"/>
  <c r="O11" i="8" s="1"/>
  <c r="L11" i="8"/>
  <c r="S16" i="8"/>
  <c r="T16" i="8"/>
  <c r="U16" i="8" s="1"/>
  <c r="S17" i="8"/>
  <c r="S18" i="8"/>
  <c r="J25" i="8"/>
  <c r="J35" i="8" s="1"/>
  <c r="C26" i="8"/>
  <c r="J26" i="8"/>
  <c r="J36" i="8" s="1"/>
  <c r="C27" i="8"/>
  <c r="C28" i="8" s="1"/>
  <c r="D27" i="8"/>
  <c r="D37" i="8" s="1"/>
  <c r="G27" i="8"/>
  <c r="J18" i="8" s="1"/>
  <c r="K18" i="8" s="1"/>
  <c r="D28" i="8"/>
  <c r="D38" i="8" s="1"/>
  <c r="G28" i="8"/>
  <c r="C29" i="8"/>
  <c r="C39" i="8" s="1"/>
  <c r="J29" i="8"/>
  <c r="C30" i="8"/>
  <c r="C40" i="8" s="1"/>
  <c r="D30" i="8"/>
  <c r="D40" i="8" s="1"/>
  <c r="J30" i="8"/>
  <c r="J38" i="8"/>
  <c r="J39" i="8"/>
  <c r="J40" i="8"/>
  <c r="D5" i="7"/>
  <c r="D9" i="7"/>
  <c r="D33" i="7"/>
  <c r="E15" i="7" s="1"/>
  <c r="L4" i="5"/>
  <c r="L5" i="5"/>
  <c r="H6" i="5"/>
  <c r="L6" i="5"/>
  <c r="L7" i="5"/>
  <c r="H8" i="5"/>
  <c r="K8" i="5" s="1"/>
  <c r="L8" i="5"/>
  <c r="L9" i="5"/>
  <c r="L10" i="5"/>
  <c r="C12" i="5"/>
  <c r="C13" i="5"/>
  <c r="J16" i="5" s="1"/>
  <c r="F4" i="4"/>
  <c r="F5" i="4"/>
  <c r="H5" i="4"/>
  <c r="F6" i="4"/>
  <c r="F14" i="4" s="1"/>
  <c r="F15" i="4" s="1"/>
  <c r="F19" i="4" s="1"/>
  <c r="F7" i="4"/>
  <c r="F8" i="4"/>
  <c r="F9" i="4"/>
  <c r="F10" i="4"/>
  <c r="R7" i="1"/>
  <c r="N7" i="1" s="1"/>
  <c r="R11" i="1"/>
  <c r="R12" i="1"/>
  <c r="R13" i="1"/>
  <c r="R14" i="1"/>
  <c r="R15" i="1"/>
  <c r="R16" i="1"/>
  <c r="R17" i="1"/>
  <c r="R18" i="1"/>
  <c r="R19" i="1"/>
  <c r="R20" i="1"/>
  <c r="R21" i="1"/>
  <c r="R22" i="1"/>
  <c r="R23" i="1"/>
  <c r="R24" i="1"/>
  <c r="R25" i="1"/>
  <c r="R26" i="1"/>
  <c r="R27" i="1"/>
  <c r="R28" i="1"/>
  <c r="R29" i="1"/>
  <c r="R30" i="1"/>
  <c r="B10" i="2"/>
  <c r="B20" i="2"/>
  <c r="C19" i="29" s="1"/>
  <c r="B98" i="2"/>
  <c r="C89" i="29" s="1"/>
  <c r="B99" i="2"/>
  <c r="C90" i="29" s="1"/>
  <c r="B105" i="2"/>
  <c r="C96" i="29" s="1"/>
  <c r="C105" i="2"/>
  <c r="B116" i="2"/>
  <c r="B128" i="2"/>
  <c r="C114" i="29" s="1"/>
  <c r="J16" i="11"/>
  <c r="N7" i="8"/>
  <c r="J37" i="8"/>
  <c r="C14" i="11"/>
  <c r="O7" i="8"/>
  <c r="C11" i="1"/>
  <c r="C12" i="1"/>
  <c r="D12" i="1" s="1"/>
  <c r="N12" i="1" s="1"/>
  <c r="G27" i="22"/>
  <c r="B26" i="22" s="1"/>
  <c r="B25" i="22" s="1"/>
  <c r="N48" i="28"/>
  <c r="O48" i="28" s="1"/>
  <c r="B115" i="2"/>
  <c r="D11" i="1"/>
  <c r="N11" i="1" s="1"/>
  <c r="G35" i="1"/>
  <c r="D8" i="26" s="1"/>
  <c r="V131" i="38" l="1"/>
  <c r="V130" i="38"/>
  <c r="W116" i="38"/>
  <c r="S123" i="38"/>
  <c r="T122" i="38"/>
  <c r="W6" i="38"/>
  <c r="Q90" i="37"/>
  <c r="Q88" i="37" s="1"/>
  <c r="R13" i="38"/>
  <c r="S12" i="38"/>
  <c r="Q96" i="37"/>
  <c r="Q94" i="37" s="1"/>
  <c r="S112" i="37"/>
  <c r="R115" i="37"/>
  <c r="T6" i="37"/>
  <c r="S24" i="37"/>
  <c r="S19" i="37"/>
  <c r="R34" i="37"/>
  <c r="Y111" i="37"/>
  <c r="X114" i="37"/>
  <c r="G41" i="28"/>
  <c r="E8" i="26" s="1"/>
  <c r="C14" i="5"/>
  <c r="H10" i="25"/>
  <c r="J10" i="25" s="1"/>
  <c r="K10" i="25" s="1"/>
  <c r="J9" i="25"/>
  <c r="K9" i="25" s="1"/>
  <c r="F30" i="8"/>
  <c r="G29" i="8"/>
  <c r="E28" i="18"/>
  <c r="E18" i="18"/>
  <c r="E19" i="18" s="1"/>
  <c r="E20" i="18" s="1"/>
  <c r="E21" i="18" s="1"/>
  <c r="E22" i="18" s="1"/>
  <c r="E23" i="18" s="1"/>
  <c r="E24" i="18" s="1"/>
  <c r="E25" i="18" s="1"/>
  <c r="E26" i="18" s="1"/>
  <c r="K6" i="11"/>
  <c r="K14" i="11" s="1"/>
  <c r="K15" i="11" s="1"/>
  <c r="K16" i="11" s="1"/>
  <c r="L7" i="28"/>
  <c r="P42" i="1"/>
  <c r="R42" i="1" s="1"/>
  <c r="G26" i="12"/>
  <c r="F29" i="12"/>
  <c r="G39" i="28"/>
  <c r="M11" i="8"/>
  <c r="O10" i="8"/>
  <c r="P10" i="8" s="1"/>
  <c r="F32" i="12"/>
  <c r="J7" i="25"/>
  <c r="K7" i="25" s="1"/>
  <c r="B53" i="29"/>
  <c r="B98" i="29" s="1"/>
  <c r="G19" i="19"/>
  <c r="G20" i="19" s="1"/>
  <c r="G21" i="19"/>
  <c r="I18" i="18"/>
  <c r="I19" i="18" s="1"/>
  <c r="I20" i="18" s="1"/>
  <c r="I21" i="18" s="1"/>
  <c r="I22" i="18" s="1"/>
  <c r="I23" i="18" s="1"/>
  <c r="I24" i="18" s="1"/>
  <c r="I25" i="18" s="1"/>
  <c r="I26" i="18" s="1"/>
  <c r="I28" i="18"/>
  <c r="D19" i="19"/>
  <c r="D20" i="19" s="1"/>
  <c r="D21" i="19"/>
  <c r="E21" i="19"/>
  <c r="E19" i="19"/>
  <c r="E20" i="19" s="1"/>
  <c r="I21" i="19"/>
  <c r="I19" i="19"/>
  <c r="I20" i="19" s="1"/>
  <c r="B21" i="19"/>
  <c r="B19" i="19"/>
  <c r="B20" i="19" s="1"/>
  <c r="C11" i="9"/>
  <c r="C18" i="9"/>
  <c r="B11" i="18"/>
  <c r="D12" i="21"/>
  <c r="J28" i="18"/>
  <c r="J18" i="18"/>
  <c r="J19" i="18" s="1"/>
  <c r="J20" i="18" s="1"/>
  <c r="J21" i="18" s="1"/>
  <c r="J22" i="18" s="1"/>
  <c r="J23" i="18" s="1"/>
  <c r="J24" i="18" s="1"/>
  <c r="J25" i="18" s="1"/>
  <c r="J26" i="18" s="1"/>
  <c r="L17" i="19"/>
  <c r="H21" i="19"/>
  <c r="H19" i="19"/>
  <c r="H20" i="19" s="1"/>
  <c r="C19" i="19"/>
  <c r="C20" i="19" s="1"/>
  <c r="C21" i="19"/>
  <c r="J21" i="19"/>
  <c r="J19" i="19"/>
  <c r="J20" i="19" s="1"/>
  <c r="B96" i="2"/>
  <c r="H35" i="27"/>
  <c r="B130" i="2"/>
  <c r="C26" i="22"/>
  <c r="E27" i="22"/>
  <c r="B24" i="22"/>
  <c r="H27" i="8"/>
  <c r="I27" i="8" s="1"/>
  <c r="H28" i="8"/>
  <c r="I28" i="8" s="1"/>
  <c r="H29" i="8"/>
  <c r="I29" i="8" s="1"/>
  <c r="K29" i="8" s="1"/>
  <c r="M29" i="8" s="1"/>
  <c r="N29" i="8" s="1"/>
  <c r="H39" i="8"/>
  <c r="H40" i="8"/>
  <c r="G28" i="18"/>
  <c r="G18" i="18"/>
  <c r="G19" i="18" s="1"/>
  <c r="G20" i="18" s="1"/>
  <c r="G21" i="18" s="1"/>
  <c r="G22" i="18" s="1"/>
  <c r="G23" i="18" s="1"/>
  <c r="G24" i="18" s="1"/>
  <c r="G25" i="18" s="1"/>
  <c r="G26" i="18" s="1"/>
  <c r="F18" i="18"/>
  <c r="F19" i="18" s="1"/>
  <c r="F20" i="18" s="1"/>
  <c r="F21" i="18" s="1"/>
  <c r="F22" i="18" s="1"/>
  <c r="F23" i="18" s="1"/>
  <c r="F24" i="18" s="1"/>
  <c r="F25" i="18" s="1"/>
  <c r="F26" i="18" s="1"/>
  <c r="F28" i="18"/>
  <c r="C13" i="1"/>
  <c r="F19" i="19"/>
  <c r="F20" i="19" s="1"/>
  <c r="F21" i="19"/>
  <c r="C18" i="18"/>
  <c r="C19" i="18" s="1"/>
  <c r="C20" i="18" s="1"/>
  <c r="C21" i="18" s="1"/>
  <c r="C22" i="18" s="1"/>
  <c r="C23" i="18" s="1"/>
  <c r="C24" i="18" s="1"/>
  <c r="C25" i="18" s="1"/>
  <c r="C26" i="18" s="1"/>
  <c r="C28" i="18"/>
  <c r="C93" i="29"/>
  <c r="B103" i="2"/>
  <c r="D96" i="29"/>
  <c r="E14" i="21"/>
  <c r="J7" i="8"/>
  <c r="F8" i="8"/>
  <c r="F11" i="8"/>
  <c r="J27" i="8"/>
  <c r="K27" i="8" s="1"/>
  <c r="M27" i="8" s="1"/>
  <c r="N27" i="8" s="1"/>
  <c r="K21" i="19"/>
  <c r="K19" i="19"/>
  <c r="K20" i="19" s="1"/>
  <c r="K18" i="18"/>
  <c r="K19" i="18" s="1"/>
  <c r="K20" i="18" s="1"/>
  <c r="K21" i="18" s="1"/>
  <c r="K22" i="18" s="1"/>
  <c r="K23" i="18" s="1"/>
  <c r="K24" i="18" s="1"/>
  <c r="K25" i="18" s="1"/>
  <c r="K26" i="18" s="1"/>
  <c r="K28" i="18"/>
  <c r="D28" i="18"/>
  <c r="D18" i="18"/>
  <c r="D19" i="18" s="1"/>
  <c r="D20" i="18" s="1"/>
  <c r="D21" i="18" s="1"/>
  <c r="D22" i="18" s="1"/>
  <c r="D23" i="18" s="1"/>
  <c r="D24" i="18" s="1"/>
  <c r="D25" i="18" s="1"/>
  <c r="D26" i="18" s="1"/>
  <c r="K6" i="5"/>
  <c r="K14" i="5" s="1"/>
  <c r="K15" i="5" s="1"/>
  <c r="K16" i="5" s="1"/>
  <c r="H14" i="5"/>
  <c r="C11" i="29"/>
  <c r="C10" i="28"/>
  <c r="F31" i="12"/>
  <c r="F37" i="12"/>
  <c r="J26" i="12"/>
  <c r="A19" i="20" s="1"/>
  <c r="F35" i="12"/>
  <c r="I26" i="12"/>
  <c r="H26" i="25"/>
  <c r="I26" i="25" s="1"/>
  <c r="G27" i="25"/>
  <c r="E37" i="22"/>
  <c r="B36" i="22"/>
  <c r="B38" i="22"/>
  <c r="L35" i="18"/>
  <c r="L37" i="18" s="1"/>
  <c r="H8" i="18"/>
  <c r="L8" i="18" s="1"/>
  <c r="C115" i="29"/>
  <c r="N49" i="28"/>
  <c r="P43" i="1"/>
  <c r="N8" i="1"/>
  <c r="G21" i="25"/>
  <c r="W131" i="38" l="1"/>
  <c r="W130" i="38"/>
  <c r="X116" i="38"/>
  <c r="T123" i="38"/>
  <c r="U122" i="38"/>
  <c r="X6" i="38"/>
  <c r="S34" i="37"/>
  <c r="S96" i="37" s="1"/>
  <c r="S94" i="37" s="1"/>
  <c r="T12" i="38"/>
  <c r="S13" i="38"/>
  <c r="Z111" i="37"/>
  <c r="Y114" i="37"/>
  <c r="U6" i="37"/>
  <c r="T19" i="37"/>
  <c r="T24" i="37"/>
  <c r="R90" i="37"/>
  <c r="R88" i="37" s="1"/>
  <c r="R96" i="37"/>
  <c r="R94" i="37" s="1"/>
  <c r="R83" i="37"/>
  <c r="T112" i="37"/>
  <c r="S115" i="37"/>
  <c r="G30" i="8"/>
  <c r="I30" i="8" s="1"/>
  <c r="K30" i="8" s="1"/>
  <c r="M30" i="8" s="1"/>
  <c r="N30" i="8" s="1"/>
  <c r="F37" i="8"/>
  <c r="B23" i="22"/>
  <c r="R43" i="1"/>
  <c r="B39" i="22"/>
  <c r="E38" i="22"/>
  <c r="J16" i="1"/>
  <c r="I8" i="1"/>
  <c r="O8" i="1" s="1"/>
  <c r="P8" i="1" s="1"/>
  <c r="I10" i="1"/>
  <c r="O10" i="1" s="1"/>
  <c r="I9" i="1"/>
  <c r="O9" i="1" s="1"/>
  <c r="N7" i="28"/>
  <c r="I7" i="1"/>
  <c r="T7" i="1"/>
  <c r="C87" i="29"/>
  <c r="H21" i="25"/>
  <c r="I21" i="25" s="1"/>
  <c r="G22" i="25"/>
  <c r="H22" i="25" s="1"/>
  <c r="I22" i="25" s="1"/>
  <c r="J26" i="1"/>
  <c r="B83" i="2"/>
  <c r="B82" i="2"/>
  <c r="B138" i="2"/>
  <c r="C124" i="29" s="1"/>
  <c r="N50" i="28"/>
  <c r="O50" i="28" s="1"/>
  <c r="P44" i="1"/>
  <c r="R44" i="1" s="1"/>
  <c r="C116" i="29"/>
  <c r="C117" i="29" s="1"/>
  <c r="C20" i="9"/>
  <c r="C22" i="9" s="1"/>
  <c r="C13" i="9"/>
  <c r="H9" i="18"/>
  <c r="B17" i="20"/>
  <c r="A29" i="20"/>
  <c r="C11" i="28"/>
  <c r="D10" i="28"/>
  <c r="L10" i="28" s="1"/>
  <c r="K7" i="8"/>
  <c r="P7" i="8" s="1"/>
  <c r="D13" i="1"/>
  <c r="N13" i="1" s="1"/>
  <c r="C14" i="1"/>
  <c r="B9" i="28"/>
  <c r="D9" i="28" s="1"/>
  <c r="L9" i="28" s="1"/>
  <c r="B9" i="1"/>
  <c r="B8" i="28"/>
  <c r="B10" i="1"/>
  <c r="D10" i="1" s="1"/>
  <c r="N10" i="1" s="1"/>
  <c r="H39" i="27"/>
  <c r="B12" i="18"/>
  <c r="J26" i="25"/>
  <c r="K26" i="25" s="1"/>
  <c r="J27" i="25"/>
  <c r="K27" i="25" s="1"/>
  <c r="O49" i="28"/>
  <c r="B35" i="22"/>
  <c r="E36" i="22"/>
  <c r="B46" i="2"/>
  <c r="B37" i="2"/>
  <c r="J28" i="8"/>
  <c r="K28" i="8" s="1"/>
  <c r="M28" i="8" s="1"/>
  <c r="N28" i="8" s="1"/>
  <c r="N31" i="8" s="1"/>
  <c r="G8" i="8"/>
  <c r="T22" i="1"/>
  <c r="T18" i="1"/>
  <c r="T15" i="1"/>
  <c r="T23" i="1"/>
  <c r="T13" i="1"/>
  <c r="T16" i="1"/>
  <c r="T26" i="1"/>
  <c r="T17" i="1"/>
  <c r="T19" i="1"/>
  <c r="T20" i="1"/>
  <c r="T29" i="1"/>
  <c r="E101" i="2"/>
  <c r="T30" i="1"/>
  <c r="T31" i="1" s="1"/>
  <c r="T12" i="1"/>
  <c r="T11" i="1"/>
  <c r="T27" i="1"/>
  <c r="T24" i="1"/>
  <c r="C94" i="29"/>
  <c r="T28" i="1"/>
  <c r="T21" i="1"/>
  <c r="E102" i="2"/>
  <c r="B104" i="2" s="1"/>
  <c r="I25" i="1" s="1"/>
  <c r="T14" i="1"/>
  <c r="T25" i="1"/>
  <c r="C25" i="22"/>
  <c r="E26" i="22"/>
  <c r="F27" i="22" s="1"/>
  <c r="X130" i="38" l="1"/>
  <c r="X131" i="38"/>
  <c r="Y116" i="38"/>
  <c r="V122" i="38"/>
  <c r="U123" i="38"/>
  <c r="Y6" i="38"/>
  <c r="S83" i="37"/>
  <c r="S90" i="37"/>
  <c r="S88" i="37" s="1"/>
  <c r="T34" i="37"/>
  <c r="T96" i="37" s="1"/>
  <c r="T94" i="37" s="1"/>
  <c r="T13" i="38"/>
  <c r="U12" i="38"/>
  <c r="V6" i="37"/>
  <c r="U19" i="37"/>
  <c r="U24" i="37"/>
  <c r="U112" i="37"/>
  <c r="T115" i="37"/>
  <c r="AA111" i="37"/>
  <c r="Z114" i="37"/>
  <c r="N51" i="28"/>
  <c r="F38" i="8"/>
  <c r="G37" i="8"/>
  <c r="I37" i="8" s="1"/>
  <c r="K37" i="8" s="1"/>
  <c r="M37" i="8" s="1"/>
  <c r="N37" i="8" s="1"/>
  <c r="I16" i="1"/>
  <c r="I20" i="1"/>
  <c r="B34" i="22"/>
  <c r="E35" i="22"/>
  <c r="N9" i="28"/>
  <c r="R45" i="1"/>
  <c r="I27" i="1"/>
  <c r="I19" i="1"/>
  <c r="J22" i="25"/>
  <c r="K22" i="25" s="1"/>
  <c r="K31" i="25" s="1"/>
  <c r="J21" i="25"/>
  <c r="K21" i="25" s="1"/>
  <c r="K30" i="25" s="1"/>
  <c r="O7" i="1"/>
  <c r="I15" i="1"/>
  <c r="C45" i="29"/>
  <c r="O51" i="28"/>
  <c r="B13" i="18"/>
  <c r="B39" i="28"/>
  <c r="D8" i="28"/>
  <c r="B41" i="28"/>
  <c r="E17" i="26" s="1"/>
  <c r="L31" i="1"/>
  <c r="J15" i="1"/>
  <c r="D13" i="21"/>
  <c r="C95" i="29"/>
  <c r="I24" i="1"/>
  <c r="I30" i="1"/>
  <c r="D11" i="28"/>
  <c r="L11" i="28" s="1"/>
  <c r="C12" i="28"/>
  <c r="T8" i="1"/>
  <c r="T9" i="1" s="1"/>
  <c r="T10" i="1" s="1"/>
  <c r="T33" i="1"/>
  <c r="F38" i="22"/>
  <c r="J27" i="1"/>
  <c r="C24" i="22"/>
  <c r="E25" i="22"/>
  <c r="I18" i="1"/>
  <c r="I13" i="1"/>
  <c r="I22" i="1"/>
  <c r="I21" i="1"/>
  <c r="C36" i="29"/>
  <c r="C15" i="1"/>
  <c r="D14" i="1"/>
  <c r="N14" i="1" s="1"/>
  <c r="E39" i="22"/>
  <c r="B40" i="22"/>
  <c r="I31" i="1"/>
  <c r="I29" i="1"/>
  <c r="I11" i="1"/>
  <c r="I23" i="1"/>
  <c r="I17" i="1"/>
  <c r="I26" i="1"/>
  <c r="I12" i="1"/>
  <c r="I28" i="1"/>
  <c r="I14" i="1"/>
  <c r="J8" i="8"/>
  <c r="G11" i="8"/>
  <c r="J25" i="1"/>
  <c r="F36" i="22"/>
  <c r="J30" i="28"/>
  <c r="B35" i="1"/>
  <c r="D17" i="26" s="1"/>
  <c r="D9" i="1"/>
  <c r="B33" i="1"/>
  <c r="C17" i="26" s="1"/>
  <c r="L9" i="18"/>
  <c r="H10" i="18"/>
  <c r="F37" i="22"/>
  <c r="P10" i="1"/>
  <c r="P45" i="1"/>
  <c r="V123" i="38" l="1"/>
  <c r="W122" i="38"/>
  <c r="Y131" i="38"/>
  <c r="Y130" i="38"/>
  <c r="Z116" i="38"/>
  <c r="Z6" i="38"/>
  <c r="T83" i="37"/>
  <c r="T90" i="37"/>
  <c r="T88" i="37" s="1"/>
  <c r="U13" i="38"/>
  <c r="V12" i="38"/>
  <c r="U34" i="37"/>
  <c r="U90" i="37" s="1"/>
  <c r="U88" i="37" s="1"/>
  <c r="W6" i="37"/>
  <c r="V19" i="37"/>
  <c r="V24" i="37"/>
  <c r="U115" i="37"/>
  <c r="V112" i="37"/>
  <c r="AB111" i="37"/>
  <c r="AA114" i="37"/>
  <c r="E10" i="26"/>
  <c r="I33" i="1"/>
  <c r="C10" i="26" s="1"/>
  <c r="F39" i="8"/>
  <c r="G38" i="8"/>
  <c r="I38" i="8" s="1"/>
  <c r="K38" i="8" s="1"/>
  <c r="M38" i="8" s="1"/>
  <c r="N38" i="8" s="1"/>
  <c r="K8" i="8"/>
  <c r="P8" i="8" s="1"/>
  <c r="P11" i="8" s="1"/>
  <c r="S20" i="8" s="1"/>
  <c r="J11" i="8"/>
  <c r="E40" i="22"/>
  <c r="B41" i="22"/>
  <c r="B91" i="2"/>
  <c r="C82" i="29" s="1"/>
  <c r="C79" i="29" s="1"/>
  <c r="L31" i="25"/>
  <c r="H11" i="18"/>
  <c r="L10" i="18"/>
  <c r="F39" i="22"/>
  <c r="J28" i="1"/>
  <c r="C16" i="1"/>
  <c r="D15" i="1"/>
  <c r="N15" i="1" s="1"/>
  <c r="C13" i="28"/>
  <c r="D12" i="28"/>
  <c r="L12" i="28" s="1"/>
  <c r="P7" i="1"/>
  <c r="J24" i="1"/>
  <c r="C23" i="22"/>
  <c r="E24" i="22"/>
  <c r="B14" i="18"/>
  <c r="B90" i="2"/>
  <c r="L30" i="25"/>
  <c r="N9" i="1"/>
  <c r="L8" i="28"/>
  <c r="I35" i="1"/>
  <c r="D10" i="26" s="1"/>
  <c r="J39" i="28"/>
  <c r="J41" i="28"/>
  <c r="E13" i="26" s="1"/>
  <c r="F25" i="22"/>
  <c r="J14" i="1"/>
  <c r="F26" i="22"/>
  <c r="L35" i="1"/>
  <c r="D13" i="26" s="1"/>
  <c r="L33" i="1"/>
  <c r="C13" i="26" s="1"/>
  <c r="N6" i="28"/>
  <c r="E34" i="22"/>
  <c r="F35" i="22" s="1"/>
  <c r="B33" i="22"/>
  <c r="W123" i="38" l="1"/>
  <c r="X122" i="38"/>
  <c r="Z130" i="38"/>
  <c r="AA116" i="38"/>
  <c r="Z131" i="38"/>
  <c r="AA6" i="38"/>
  <c r="U83" i="37"/>
  <c r="V13" i="38"/>
  <c r="W12" i="38"/>
  <c r="U96" i="37"/>
  <c r="U94" i="37" s="1"/>
  <c r="V34" i="37"/>
  <c r="V96" i="37" s="1"/>
  <c r="V94" i="37" s="1"/>
  <c r="AC111" i="37"/>
  <c r="AB114" i="37"/>
  <c r="W112" i="37"/>
  <c r="V115" i="37"/>
  <c r="X6" i="37"/>
  <c r="W19" i="37"/>
  <c r="W24" i="37"/>
  <c r="F40" i="8"/>
  <c r="G40" i="8" s="1"/>
  <c r="I40" i="8" s="1"/>
  <c r="K40" i="8" s="1"/>
  <c r="M40" i="8" s="1"/>
  <c r="N40" i="8" s="1"/>
  <c r="G39" i="8"/>
  <c r="I39" i="8" s="1"/>
  <c r="K39" i="8" s="1"/>
  <c r="M39" i="8" s="1"/>
  <c r="N39" i="8" s="1"/>
  <c r="P9" i="1"/>
  <c r="B32" i="22"/>
  <c r="E33" i="22"/>
  <c r="B15" i="18"/>
  <c r="H12" i="18"/>
  <c r="L11" i="18"/>
  <c r="J29" i="1"/>
  <c r="F40" i="22"/>
  <c r="C81" i="29"/>
  <c r="C78" i="29" s="1"/>
  <c r="B92" i="2"/>
  <c r="C22" i="22"/>
  <c r="E22" i="22" s="1"/>
  <c r="E23" i="22"/>
  <c r="N12" i="8"/>
  <c r="O12" i="8" s="1"/>
  <c r="K11" i="8"/>
  <c r="D16" i="1"/>
  <c r="N16" i="1" s="1"/>
  <c r="C17" i="1"/>
  <c r="E41" i="22"/>
  <c r="B42" i="22"/>
  <c r="E42" i="22" s="1"/>
  <c r="U20" i="8"/>
  <c r="T20" i="8"/>
  <c r="F34" i="22"/>
  <c r="J23" i="1"/>
  <c r="N8" i="28"/>
  <c r="J13" i="1"/>
  <c r="C14" i="28"/>
  <c r="D13" i="28"/>
  <c r="AA131" i="38" l="1"/>
  <c r="AA130" i="38"/>
  <c r="AB116" i="38"/>
  <c r="X123" i="38"/>
  <c r="Y122" i="38"/>
  <c r="AB6" i="38"/>
  <c r="X12" i="38"/>
  <c r="W13" i="38"/>
  <c r="V90" i="37"/>
  <c r="V88" i="37" s="1"/>
  <c r="V83" i="37"/>
  <c r="W34" i="37"/>
  <c r="W96" i="37" s="1"/>
  <c r="W94" i="37" s="1"/>
  <c r="Y6" i="37"/>
  <c r="X19" i="37"/>
  <c r="X24" i="37"/>
  <c r="AD111" i="37"/>
  <c r="AC114" i="37"/>
  <c r="X112" i="37"/>
  <c r="W115" i="37"/>
  <c r="N41" i="8"/>
  <c r="N43" i="8" s="1"/>
  <c r="F41" i="22"/>
  <c r="J30" i="1"/>
  <c r="J12" i="1"/>
  <c r="F23" i="22"/>
  <c r="H13" i="18"/>
  <c r="L12" i="18"/>
  <c r="L13" i="28"/>
  <c r="J11" i="1"/>
  <c r="J22" i="1"/>
  <c r="D14" i="28"/>
  <c r="L14" i="28" s="1"/>
  <c r="C15" i="28"/>
  <c r="C83" i="29"/>
  <c r="H10" i="28"/>
  <c r="H11" i="1"/>
  <c r="E32" i="22"/>
  <c r="B31" i="22"/>
  <c r="B16" i="18"/>
  <c r="F24" i="22"/>
  <c r="F42" i="22"/>
  <c r="J31" i="1"/>
  <c r="C18" i="1"/>
  <c r="D17" i="1"/>
  <c r="N17" i="1" s="1"/>
  <c r="AB130" i="38" l="1"/>
  <c r="AC116" i="38"/>
  <c r="AB131" i="38"/>
  <c r="Y123" i="38"/>
  <c r="Z122" i="38"/>
  <c r="AC6" i="38"/>
  <c r="W83" i="37"/>
  <c r="X34" i="37"/>
  <c r="X96" i="37" s="1"/>
  <c r="X94" i="37" s="1"/>
  <c r="X13" i="38"/>
  <c r="Y12" i="38"/>
  <c r="W90" i="37"/>
  <c r="W88" i="37" s="1"/>
  <c r="AE111" i="37"/>
  <c r="AD114" i="37"/>
  <c r="Y112" i="37"/>
  <c r="X115" i="37"/>
  <c r="Z6" i="37"/>
  <c r="Y24" i="37"/>
  <c r="Y19" i="37"/>
  <c r="B38" i="2"/>
  <c r="B47" i="2"/>
  <c r="D18" i="1"/>
  <c r="C19" i="1"/>
  <c r="H12" i="1"/>
  <c r="H13" i="1" s="1"/>
  <c r="H14" i="1" s="1"/>
  <c r="H15" i="1" s="1"/>
  <c r="H16" i="1" s="1"/>
  <c r="H17" i="1" s="1"/>
  <c r="H18" i="1" s="1"/>
  <c r="H19" i="1" s="1"/>
  <c r="H20" i="1" s="1"/>
  <c r="H21" i="1" s="1"/>
  <c r="H22" i="1" s="1"/>
  <c r="H23" i="1" s="1"/>
  <c r="H24" i="1" s="1"/>
  <c r="H25" i="1" s="1"/>
  <c r="H26" i="1" s="1"/>
  <c r="H27" i="1" s="1"/>
  <c r="H28" i="1" s="1"/>
  <c r="H29" i="1" s="1"/>
  <c r="H30" i="1" s="1"/>
  <c r="H31" i="1" s="1"/>
  <c r="B17" i="18"/>
  <c r="B30" i="22"/>
  <c r="E31" i="22"/>
  <c r="H14" i="18"/>
  <c r="L13" i="18"/>
  <c r="H11" i="28"/>
  <c r="H12" i="28" s="1"/>
  <c r="H13" i="28" s="1"/>
  <c r="H14" i="28" s="1"/>
  <c r="H15" i="28" s="1"/>
  <c r="H16" i="28" s="1"/>
  <c r="H17" i="28" s="1"/>
  <c r="H18" i="28" s="1"/>
  <c r="H19" i="28" s="1"/>
  <c r="H20" i="28" s="1"/>
  <c r="H21" i="28" s="1"/>
  <c r="H22" i="28" s="1"/>
  <c r="H23" i="28" s="1"/>
  <c r="H24" i="28" s="1"/>
  <c r="H25" i="28" s="1"/>
  <c r="H26" i="28" s="1"/>
  <c r="H27" i="28" s="1"/>
  <c r="H28" i="28" s="1"/>
  <c r="H29" i="28" s="1"/>
  <c r="H30" i="28" s="1"/>
  <c r="J21" i="1"/>
  <c r="F32" i="22"/>
  <c r="D15" i="28"/>
  <c r="L15" i="28" s="1"/>
  <c r="C16" i="28"/>
  <c r="F33" i="22"/>
  <c r="AC5" i="38" l="1"/>
  <c r="K7" i="38" s="1"/>
  <c r="AC131" i="38"/>
  <c r="AC130" i="38"/>
  <c r="AD116" i="38"/>
  <c r="Z123" i="38"/>
  <c r="AA122" i="38"/>
  <c r="AD6" i="38"/>
  <c r="X83" i="37"/>
  <c r="X90" i="37"/>
  <c r="X88" i="37" s="1"/>
  <c r="Y13" i="38"/>
  <c r="Z12" i="38"/>
  <c r="AA6" i="37"/>
  <c r="Z19" i="37"/>
  <c r="Z24" i="37"/>
  <c r="Z112" i="37"/>
  <c r="Y115" i="37"/>
  <c r="Y34" i="37"/>
  <c r="AF111" i="37"/>
  <c r="AE114" i="37"/>
  <c r="H39" i="28"/>
  <c r="H41" i="28"/>
  <c r="E9" i="26" s="1"/>
  <c r="C46" i="29"/>
  <c r="B48" i="2"/>
  <c r="B39" i="2"/>
  <c r="C37" i="29"/>
  <c r="B119" i="2"/>
  <c r="B28" i="18"/>
  <c r="B18" i="18"/>
  <c r="H15" i="18"/>
  <c r="L14" i="18"/>
  <c r="J20" i="1"/>
  <c r="F31" i="22"/>
  <c r="H33" i="1"/>
  <c r="C9" i="26" s="1"/>
  <c r="D16" i="28"/>
  <c r="L16" i="28" s="1"/>
  <c r="C17" i="28"/>
  <c r="C20" i="1"/>
  <c r="D19" i="1"/>
  <c r="N19" i="1" s="1"/>
  <c r="H35" i="1"/>
  <c r="D9" i="26" s="1"/>
  <c r="N18" i="1"/>
  <c r="B29" i="22"/>
  <c r="E30" i="22"/>
  <c r="L7" i="38" l="1"/>
  <c r="K8" i="38"/>
  <c r="K9" i="38"/>
  <c r="AD131" i="38"/>
  <c r="AD130" i="38"/>
  <c r="AE116" i="38"/>
  <c r="AA123" i="38"/>
  <c r="AB122" i="38"/>
  <c r="AE6" i="38"/>
  <c r="Z13" i="38"/>
  <c r="AA12" i="38"/>
  <c r="Z34" i="37"/>
  <c r="Z83" i="37" s="1"/>
  <c r="AA112" i="37"/>
  <c r="Z115" i="37"/>
  <c r="AG111" i="37"/>
  <c r="AF114" i="37"/>
  <c r="Y96" i="37"/>
  <c r="Y94" i="37" s="1"/>
  <c r="Y90" i="37"/>
  <c r="Y88" i="37" s="1"/>
  <c r="Y83" i="37"/>
  <c r="Z90" i="37"/>
  <c r="Z88" i="37" s="1"/>
  <c r="AB6" i="37"/>
  <c r="AA19" i="37"/>
  <c r="AA24" i="37"/>
  <c r="B49" i="2"/>
  <c r="C47" i="29"/>
  <c r="B40" i="2"/>
  <c r="C38" i="29"/>
  <c r="C106" i="29"/>
  <c r="B120" i="2"/>
  <c r="B121" i="2" s="1"/>
  <c r="B28" i="22"/>
  <c r="E28" i="22" s="1"/>
  <c r="E29" i="22"/>
  <c r="F30" i="22" s="1"/>
  <c r="C21" i="1"/>
  <c r="D20" i="1"/>
  <c r="H16" i="18"/>
  <c r="L15" i="18"/>
  <c r="C18" i="28"/>
  <c r="D17" i="28"/>
  <c r="B19" i="18"/>
  <c r="J19" i="1"/>
  <c r="K127" i="38" l="1"/>
  <c r="K135" i="38" s="1"/>
  <c r="K138" i="38" s="1"/>
  <c r="K143" i="38" s="1"/>
  <c r="K17" i="38"/>
  <c r="K29" i="38" s="1"/>
  <c r="K37" i="38" s="1"/>
  <c r="K16" i="38"/>
  <c r="K126" i="38"/>
  <c r="K134" i="38" s="1"/>
  <c r="K137" i="38" s="1"/>
  <c r="K142" i="38" s="1"/>
  <c r="M7" i="38"/>
  <c r="L9" i="38"/>
  <c r="L8" i="38"/>
  <c r="AF116" i="38"/>
  <c r="AE131" i="38"/>
  <c r="AE130" i="38"/>
  <c r="AB123" i="38"/>
  <c r="AC122" i="38"/>
  <c r="AF6" i="38"/>
  <c r="AB12" i="38"/>
  <c r="AA13" i="38"/>
  <c r="Z96" i="37"/>
  <c r="Z94" i="37" s="1"/>
  <c r="AC6" i="37"/>
  <c r="AB19" i="37"/>
  <c r="AB24" i="37"/>
  <c r="AH111" i="37"/>
  <c r="AG114" i="37"/>
  <c r="AA34" i="37"/>
  <c r="AB112" i="37"/>
  <c r="AA115" i="37"/>
  <c r="C39" i="29"/>
  <c r="B24" i="2"/>
  <c r="B122" i="2"/>
  <c r="C107" i="29"/>
  <c r="B28" i="2"/>
  <c r="B29" i="2"/>
  <c r="C48" i="29"/>
  <c r="L17" i="28"/>
  <c r="N20" i="1"/>
  <c r="B20" i="18"/>
  <c r="F29" i="22"/>
  <c r="J18" i="1"/>
  <c r="H17" i="18"/>
  <c r="L16" i="18"/>
  <c r="J17" i="1"/>
  <c r="F28" i="22"/>
  <c r="C19" i="28"/>
  <c r="D18" i="28"/>
  <c r="L18" i="28" s="1"/>
  <c r="C22" i="1"/>
  <c r="D21" i="1"/>
  <c r="N21" i="1" s="1"/>
  <c r="K144" i="38" l="1"/>
  <c r="K28" i="38"/>
  <c r="K36" i="38" s="1"/>
  <c r="K38" i="38" s="1"/>
  <c r="L17" i="38"/>
  <c r="L29" i="38" s="1"/>
  <c r="L37" i="38" s="1"/>
  <c r="L127" i="38"/>
  <c r="L135" i="38" s="1"/>
  <c r="L138" i="38" s="1"/>
  <c r="L143" i="38" s="1"/>
  <c r="N7" i="38"/>
  <c r="M8" i="38"/>
  <c r="M9" i="38"/>
  <c r="L16" i="38"/>
  <c r="L28" i="38" s="1"/>
  <c r="L36" i="38" s="1"/>
  <c r="L126" i="38"/>
  <c r="L134" i="38" s="1"/>
  <c r="L137" i="38" s="1"/>
  <c r="L142" i="38" s="1"/>
  <c r="AC123" i="38"/>
  <c r="AD122" i="38"/>
  <c r="AF130" i="38"/>
  <c r="AG116" i="38"/>
  <c r="AF131" i="38"/>
  <c r="AG6" i="38"/>
  <c r="AB13" i="38"/>
  <c r="AC12" i="38"/>
  <c r="AB34" i="37"/>
  <c r="AB83" i="37" s="1"/>
  <c r="AI111" i="37"/>
  <c r="AH114" i="37"/>
  <c r="AC112" i="37"/>
  <c r="AB115" i="37"/>
  <c r="AA90" i="37"/>
  <c r="AA88" i="37" s="1"/>
  <c r="AA96" i="37"/>
  <c r="AA94" i="37" s="1"/>
  <c r="AA83" i="37"/>
  <c r="AB96" i="37"/>
  <c r="AB94" i="37" s="1"/>
  <c r="AD6" i="37"/>
  <c r="AC24" i="37"/>
  <c r="AC19" i="37"/>
  <c r="I26" i="28"/>
  <c r="I11" i="28"/>
  <c r="I14" i="28"/>
  <c r="I20" i="28"/>
  <c r="K19" i="1"/>
  <c r="I13" i="28"/>
  <c r="I25" i="28"/>
  <c r="K30" i="1"/>
  <c r="K14" i="1"/>
  <c r="I22" i="28"/>
  <c r="I12" i="28"/>
  <c r="I17" i="28"/>
  <c r="K21" i="1"/>
  <c r="K23" i="1"/>
  <c r="K22" i="1"/>
  <c r="I18" i="28"/>
  <c r="K13" i="1"/>
  <c r="I16" i="28"/>
  <c r="K25" i="1"/>
  <c r="K11" i="1"/>
  <c r="I29" i="28"/>
  <c r="K26" i="1"/>
  <c r="I24" i="28"/>
  <c r="I15" i="28"/>
  <c r="K28" i="1"/>
  <c r="K27" i="1"/>
  <c r="I28" i="28"/>
  <c r="K18" i="1"/>
  <c r="I27" i="28"/>
  <c r="I30" i="28"/>
  <c r="K12" i="1"/>
  <c r="I10" i="28"/>
  <c r="K24" i="1"/>
  <c r="I23" i="28"/>
  <c r="K16" i="1"/>
  <c r="C108" i="29"/>
  <c r="I19" i="28"/>
  <c r="K20" i="1"/>
  <c r="K17" i="1"/>
  <c r="K15" i="1"/>
  <c r="K31" i="1"/>
  <c r="K29" i="1"/>
  <c r="I21" i="28"/>
  <c r="C28" i="29"/>
  <c r="B51" i="2"/>
  <c r="C50" i="29" s="1"/>
  <c r="C22" i="29"/>
  <c r="B41" i="2"/>
  <c r="B25" i="2"/>
  <c r="C24" i="29" s="1"/>
  <c r="B30" i="2"/>
  <c r="C29" i="29" s="1"/>
  <c r="B50" i="2"/>
  <c r="C27" i="29"/>
  <c r="B42" i="2"/>
  <c r="C41" i="29" s="1"/>
  <c r="C23" i="29"/>
  <c r="D19" i="28"/>
  <c r="L19" i="28" s="1"/>
  <c r="C20" i="28"/>
  <c r="E11" i="26"/>
  <c r="J33" i="1"/>
  <c r="C11" i="26" s="1"/>
  <c r="J35" i="1"/>
  <c r="D11" i="26" s="1"/>
  <c r="B21" i="18"/>
  <c r="H18" i="18"/>
  <c r="H28" i="18"/>
  <c r="L17" i="18"/>
  <c r="D22" i="1"/>
  <c r="N22" i="1" s="1"/>
  <c r="C23" i="1"/>
  <c r="F44" i="22"/>
  <c r="L38" i="38" l="1"/>
  <c r="M126" i="38"/>
  <c r="M134" i="38" s="1"/>
  <c r="M137" i="38" s="1"/>
  <c r="M142" i="38" s="1"/>
  <c r="M16" i="38"/>
  <c r="M28" i="38" s="1"/>
  <c r="M36" i="38" s="1"/>
  <c r="O7" i="38"/>
  <c r="N9" i="38"/>
  <c r="N8" i="38"/>
  <c r="L144" i="38"/>
  <c r="M127" i="38"/>
  <c r="M135" i="38" s="1"/>
  <c r="M138" i="38" s="1"/>
  <c r="M143" i="38" s="1"/>
  <c r="M17" i="38"/>
  <c r="M29" i="38" s="1"/>
  <c r="M37" i="38" s="1"/>
  <c r="AG131" i="38"/>
  <c r="AG130" i="38"/>
  <c r="AH116" i="38"/>
  <c r="AE122" i="38"/>
  <c r="AD123" i="38"/>
  <c r="AH6" i="38"/>
  <c r="AC13" i="38"/>
  <c r="AD12" i="38"/>
  <c r="AB90" i="37"/>
  <c r="AB88" i="37" s="1"/>
  <c r="AC34" i="37"/>
  <c r="AC90" i="37" s="1"/>
  <c r="AC88" i="37" s="1"/>
  <c r="AE6" i="37"/>
  <c r="AD19" i="37"/>
  <c r="AD24" i="37"/>
  <c r="AD112" i="37"/>
  <c r="AC115" i="37"/>
  <c r="AI114" i="37"/>
  <c r="B43" i="2"/>
  <c r="C40" i="29"/>
  <c r="B52" i="2"/>
  <c r="C51" i="29" s="1"/>
  <c r="C49" i="29"/>
  <c r="I41" i="28"/>
  <c r="E12" i="26" s="1"/>
  <c r="I39" i="28"/>
  <c r="K33" i="1"/>
  <c r="C12" i="26" s="1"/>
  <c r="K35" i="1"/>
  <c r="D12" i="26" s="1"/>
  <c r="H19" i="18"/>
  <c r="L18" i="18"/>
  <c r="B22" i="18"/>
  <c r="O28" i="18"/>
  <c r="L28" i="18"/>
  <c r="D20" i="28"/>
  <c r="L20" i="28" s="1"/>
  <c r="C21" i="28"/>
  <c r="C24" i="1"/>
  <c r="D23" i="1"/>
  <c r="N23" i="1" s="1"/>
  <c r="F59" i="2"/>
  <c r="F63" i="2" s="1"/>
  <c r="B63" i="2"/>
  <c r="C63" i="29" s="1"/>
  <c r="B59" i="2"/>
  <c r="C59" i="29" s="1"/>
  <c r="N17" i="38" l="1"/>
  <c r="N29" i="38" s="1"/>
  <c r="N37" i="38" s="1"/>
  <c r="N127" i="38"/>
  <c r="N135" i="38" s="1"/>
  <c r="N138" i="38" s="1"/>
  <c r="N143" i="38" s="1"/>
  <c r="P7" i="38"/>
  <c r="O9" i="38"/>
  <c r="O8" i="38"/>
  <c r="M38" i="38"/>
  <c r="N126" i="38"/>
  <c r="N134" i="38" s="1"/>
  <c r="N137" i="38" s="1"/>
  <c r="N142" i="38" s="1"/>
  <c r="N16" i="38"/>
  <c r="N28" i="38" s="1"/>
  <c r="N36" i="38" s="1"/>
  <c r="M144" i="38"/>
  <c r="AC127" i="38"/>
  <c r="AC135" i="38" s="1"/>
  <c r="AC138" i="38" s="1"/>
  <c r="AC143" i="38" s="1"/>
  <c r="AC126" i="38"/>
  <c r="AC134" i="38" s="1"/>
  <c r="AC137" i="38" s="1"/>
  <c r="AC142" i="38" s="1"/>
  <c r="AE123" i="38"/>
  <c r="AF122" i="38"/>
  <c r="AH131" i="38"/>
  <c r="AH130" i="38"/>
  <c r="AI116" i="38"/>
  <c r="AI6" i="38"/>
  <c r="AC17" i="38"/>
  <c r="AC29" i="38" s="1"/>
  <c r="AC37" i="38" s="1"/>
  <c r="AC16" i="38"/>
  <c r="AC28" i="38" s="1"/>
  <c r="AC36" i="38" s="1"/>
  <c r="AD13" i="38"/>
  <c r="AE12" i="38"/>
  <c r="AC96" i="37"/>
  <c r="AC94" i="37" s="1"/>
  <c r="AC83" i="37"/>
  <c r="AD34" i="37"/>
  <c r="AD90" i="37" s="1"/>
  <c r="AD88" i="37" s="1"/>
  <c r="AF6" i="37"/>
  <c r="AE19" i="37"/>
  <c r="AE24" i="37"/>
  <c r="AE112" i="37"/>
  <c r="AD115" i="37"/>
  <c r="F29" i="1"/>
  <c r="O29" i="1" s="1"/>
  <c r="F14" i="28"/>
  <c r="N14" i="28" s="1"/>
  <c r="F13" i="28"/>
  <c r="N13" i="28" s="1"/>
  <c r="F15" i="1"/>
  <c r="O15" i="1" s="1"/>
  <c r="P15" i="1" s="1"/>
  <c r="F11" i="1"/>
  <c r="F12" i="1"/>
  <c r="O12" i="1" s="1"/>
  <c r="P12" i="1" s="1"/>
  <c r="F26" i="28"/>
  <c r="F27" i="1"/>
  <c r="O27" i="1" s="1"/>
  <c r="F12" i="28"/>
  <c r="N12" i="28" s="1"/>
  <c r="F25" i="1"/>
  <c r="O25" i="1" s="1"/>
  <c r="F20" i="28"/>
  <c r="N20" i="28" s="1"/>
  <c r="F18" i="28"/>
  <c r="N18" i="28" s="1"/>
  <c r="F22" i="1"/>
  <c r="O22" i="1" s="1"/>
  <c r="P22" i="1" s="1"/>
  <c r="F20" i="1"/>
  <c r="O20" i="1" s="1"/>
  <c r="P20" i="1" s="1"/>
  <c r="F13" i="1"/>
  <c r="O13" i="1" s="1"/>
  <c r="P13" i="1" s="1"/>
  <c r="F16" i="1"/>
  <c r="O16" i="1" s="1"/>
  <c r="P16" i="1" s="1"/>
  <c r="F26" i="1"/>
  <c r="O26" i="1" s="1"/>
  <c r="F23" i="1"/>
  <c r="O23" i="1" s="1"/>
  <c r="P23" i="1" s="1"/>
  <c r="F21" i="1"/>
  <c r="O21" i="1" s="1"/>
  <c r="P21" i="1" s="1"/>
  <c r="F17" i="1"/>
  <c r="O17" i="1" s="1"/>
  <c r="P17" i="1" s="1"/>
  <c r="F10" i="28"/>
  <c r="F29" i="28"/>
  <c r="F28" i="28"/>
  <c r="F21" i="28"/>
  <c r="F19" i="28"/>
  <c r="N19" i="28" s="1"/>
  <c r="F16" i="28"/>
  <c r="N16" i="28" s="1"/>
  <c r="F24" i="1"/>
  <c r="O24" i="1" s="1"/>
  <c r="F28" i="1"/>
  <c r="O28" i="1" s="1"/>
  <c r="F15" i="28"/>
  <c r="N15" i="28" s="1"/>
  <c r="F23" i="28"/>
  <c r="C42" i="29"/>
  <c r="F30" i="1"/>
  <c r="O30" i="1" s="1"/>
  <c r="F25" i="28"/>
  <c r="F31" i="1"/>
  <c r="O31" i="1" s="1"/>
  <c r="F14" i="1"/>
  <c r="O14" i="1" s="1"/>
  <c r="P14" i="1" s="1"/>
  <c r="F17" i="28"/>
  <c r="N17" i="28" s="1"/>
  <c r="F27" i="28"/>
  <c r="F11" i="28"/>
  <c r="N11" i="28" s="1"/>
  <c r="F22" i="28"/>
  <c r="F24" i="28"/>
  <c r="F19" i="1"/>
  <c r="O19" i="1" s="1"/>
  <c r="P19" i="1" s="1"/>
  <c r="F18" i="1"/>
  <c r="O18" i="1" s="1"/>
  <c r="P18" i="1" s="1"/>
  <c r="F30" i="28"/>
  <c r="D21" i="28"/>
  <c r="L21" i="28" s="1"/>
  <c r="N21" i="28" s="1"/>
  <c r="C22" i="28"/>
  <c r="H20" i="18"/>
  <c r="L19" i="18"/>
  <c r="D24" i="1"/>
  <c r="N24" i="1" s="1"/>
  <c r="C25" i="1"/>
  <c r="B23" i="18"/>
  <c r="N38" i="38" l="1"/>
  <c r="O126" i="38"/>
  <c r="O134" i="38" s="1"/>
  <c r="O137" i="38" s="1"/>
  <c r="O142" i="38" s="1"/>
  <c r="O16" i="38"/>
  <c r="O28" i="38" s="1"/>
  <c r="O36" i="38" s="1"/>
  <c r="O17" i="38"/>
  <c r="O29" i="38" s="1"/>
  <c r="O37" i="38" s="1"/>
  <c r="O127" i="38"/>
  <c r="O135" i="38" s="1"/>
  <c r="O138" i="38" s="1"/>
  <c r="O143" i="38" s="1"/>
  <c r="N144" i="38"/>
  <c r="Q7" i="38"/>
  <c r="P9" i="38"/>
  <c r="P8" i="38"/>
  <c r="AC144" i="38"/>
  <c r="AG122" i="38"/>
  <c r="AF123" i="38"/>
  <c r="AI131" i="38"/>
  <c r="AI130" i="38"/>
  <c r="AJ116" i="38"/>
  <c r="AJ6" i="38"/>
  <c r="AD83" i="37"/>
  <c r="AE34" i="37"/>
  <c r="AE90" i="37" s="1"/>
  <c r="AE88" i="37" s="1"/>
  <c r="AC38" i="38"/>
  <c r="AF12" i="38"/>
  <c r="AE13" i="38"/>
  <c r="AD96" i="37"/>
  <c r="AD94" i="37" s="1"/>
  <c r="AF112" i="37"/>
  <c r="AE115" i="37"/>
  <c r="AE96" i="37"/>
  <c r="AE94" i="37" s="1"/>
  <c r="AJ114" i="37"/>
  <c r="AG6" i="37"/>
  <c r="AF19" i="37"/>
  <c r="AF24" i="37"/>
  <c r="P24" i="1"/>
  <c r="F39" i="28"/>
  <c r="F41" i="28"/>
  <c r="E7" i="26" s="1"/>
  <c r="E14" i="26" s="1"/>
  <c r="F35" i="1"/>
  <c r="O11" i="1"/>
  <c r="F33" i="1"/>
  <c r="C7" i="26" s="1"/>
  <c r="C14" i="26" s="1"/>
  <c r="B24" i="18"/>
  <c r="C26" i="1"/>
  <c r="D25" i="1"/>
  <c r="N25" i="1" s="1"/>
  <c r="P25" i="1" s="1"/>
  <c r="D22" i="28"/>
  <c r="L22" i="28" s="1"/>
  <c r="N22" i="28" s="1"/>
  <c r="C23" i="28"/>
  <c r="H21" i="18"/>
  <c r="L20" i="18"/>
  <c r="O38" i="38" l="1"/>
  <c r="O144" i="38"/>
  <c r="P16" i="38"/>
  <c r="P28" i="38" s="1"/>
  <c r="P36" i="38" s="1"/>
  <c r="P126" i="38"/>
  <c r="P134" i="38" s="1"/>
  <c r="P137" i="38" s="1"/>
  <c r="P142" i="38" s="1"/>
  <c r="R7" i="38"/>
  <c r="Q9" i="38"/>
  <c r="Q8" i="38"/>
  <c r="P127" i="38"/>
  <c r="P135" i="38" s="1"/>
  <c r="P138" i="38" s="1"/>
  <c r="P143" i="38" s="1"/>
  <c r="P17" i="38"/>
  <c r="P29" i="38" s="1"/>
  <c r="P37" i="38" s="1"/>
  <c r="AJ130" i="38"/>
  <c r="AK116" i="38"/>
  <c r="AJ131" i="38"/>
  <c r="AG123" i="38"/>
  <c r="AH122" i="38"/>
  <c r="AK6" i="38"/>
  <c r="AE83" i="37"/>
  <c r="AF13" i="38"/>
  <c r="AG12" i="38"/>
  <c r="AH6" i="37"/>
  <c r="AG24" i="37"/>
  <c r="AG19" i="37"/>
  <c r="AF34" i="37"/>
  <c r="AG112" i="37"/>
  <c r="AF115" i="37"/>
  <c r="G40" i="1"/>
  <c r="D7" i="26"/>
  <c r="D14" i="26" s="1"/>
  <c r="N10" i="28"/>
  <c r="M39" i="28"/>
  <c r="O33" i="1"/>
  <c r="P11" i="1"/>
  <c r="D26" i="1"/>
  <c r="N26" i="1" s="1"/>
  <c r="P26" i="1" s="1"/>
  <c r="C27" i="1"/>
  <c r="D23" i="28"/>
  <c r="L23" i="28" s="1"/>
  <c r="N23" i="28" s="1"/>
  <c r="C24" i="28"/>
  <c r="B25" i="18"/>
  <c r="H22" i="18"/>
  <c r="L21" i="18"/>
  <c r="P38" i="38" l="1"/>
  <c r="Q127" i="38"/>
  <c r="Q135" i="38" s="1"/>
  <c r="Q138" i="38" s="1"/>
  <c r="Q143" i="38" s="1"/>
  <c r="Q17" i="38"/>
  <c r="Q29" i="38" s="1"/>
  <c r="Q37" i="38" s="1"/>
  <c r="P144" i="38"/>
  <c r="Q126" i="38"/>
  <c r="Q134" i="38" s="1"/>
  <c r="Q137" i="38" s="1"/>
  <c r="Q142" i="38" s="1"/>
  <c r="Q16" i="38"/>
  <c r="Q28" i="38" s="1"/>
  <c r="Q36" i="38" s="1"/>
  <c r="S7" i="38"/>
  <c r="R9" i="38"/>
  <c r="R8" i="38"/>
  <c r="AK131" i="38"/>
  <c r="AK130" i="38"/>
  <c r="AL116" i="38"/>
  <c r="AH123" i="38"/>
  <c r="AI122" i="38"/>
  <c r="AL6" i="38"/>
  <c r="AG13" i="38"/>
  <c r="AH12" i="38"/>
  <c r="AF96" i="37"/>
  <c r="AF94" i="37" s="1"/>
  <c r="AF90" i="37"/>
  <c r="AF88" i="37" s="1"/>
  <c r="AF83" i="37"/>
  <c r="AG34" i="37"/>
  <c r="AH112" i="37"/>
  <c r="AG115" i="37"/>
  <c r="AI6" i="37"/>
  <c r="AH19" i="37"/>
  <c r="AH24" i="37"/>
  <c r="B26" i="18"/>
  <c r="C25" i="28"/>
  <c r="D24" i="28"/>
  <c r="L24" i="28" s="1"/>
  <c r="N24" i="28" s="1"/>
  <c r="C28" i="1"/>
  <c r="D27" i="1"/>
  <c r="N27" i="1" s="1"/>
  <c r="P27" i="1" s="1"/>
  <c r="H23" i="18"/>
  <c r="L22" i="18"/>
  <c r="Q38" i="38" l="1"/>
  <c r="R16" i="38"/>
  <c r="R28" i="38" s="1"/>
  <c r="R36" i="38" s="1"/>
  <c r="R38" i="38" s="1"/>
  <c r="R126" i="38"/>
  <c r="R134" i="38" s="1"/>
  <c r="R137" i="38" s="1"/>
  <c r="R142" i="38" s="1"/>
  <c r="Q144" i="38"/>
  <c r="T7" i="38"/>
  <c r="S9" i="38"/>
  <c r="S8" i="38"/>
  <c r="R127" i="38"/>
  <c r="R135" i="38" s="1"/>
  <c r="R138" i="38" s="1"/>
  <c r="R143" i="38" s="1"/>
  <c r="R17" i="38"/>
  <c r="R29" i="38" s="1"/>
  <c r="R37" i="38" s="1"/>
  <c r="AL131" i="38"/>
  <c r="AL130" i="38"/>
  <c r="AM116" i="38"/>
  <c r="AI123" i="38"/>
  <c r="AJ122" i="38"/>
  <c r="AM6" i="38"/>
  <c r="AH13" i="38"/>
  <c r="AI12" i="38"/>
  <c r="AG90" i="37"/>
  <c r="AG88" i="37" s="1"/>
  <c r="AG96" i="37"/>
  <c r="AG94" i="37" s="1"/>
  <c r="AG83" i="37"/>
  <c r="AI19" i="37"/>
  <c r="AI24" i="37"/>
  <c r="AH34" i="37"/>
  <c r="AI112" i="37"/>
  <c r="AH115" i="37"/>
  <c r="H24" i="18"/>
  <c r="L23" i="18"/>
  <c r="C26" i="28"/>
  <c r="D25" i="28"/>
  <c r="L25" i="28" s="1"/>
  <c r="N25" i="28" s="1"/>
  <c r="C29" i="1"/>
  <c r="D28" i="1"/>
  <c r="N28" i="1" s="1"/>
  <c r="P28" i="1" s="1"/>
  <c r="U7" i="38" l="1"/>
  <c r="T9" i="38"/>
  <c r="T8" i="38"/>
  <c r="S127" i="38"/>
  <c r="S135" i="38" s="1"/>
  <c r="S138" i="38" s="1"/>
  <c r="S143" i="38" s="1"/>
  <c r="S17" i="38"/>
  <c r="S29" i="38" s="1"/>
  <c r="S37" i="38" s="1"/>
  <c r="S126" i="38"/>
  <c r="S134" i="38" s="1"/>
  <c r="S137" i="38" s="1"/>
  <c r="S142" i="38" s="1"/>
  <c r="S16" i="38"/>
  <c r="S28" i="38" s="1"/>
  <c r="S36" i="38" s="1"/>
  <c r="R144" i="38"/>
  <c r="AM131" i="38"/>
  <c r="AM130" i="38"/>
  <c r="AN116" i="38"/>
  <c r="AK122" i="38"/>
  <c r="AJ123" i="38"/>
  <c r="AN6" i="38"/>
  <c r="AJ12" i="38"/>
  <c r="AI13" i="38"/>
  <c r="AI34" i="37"/>
  <c r="AI96" i="37" s="1"/>
  <c r="AI94" i="37" s="1"/>
  <c r="AI115" i="37"/>
  <c r="AH90" i="37"/>
  <c r="AH88" i="37" s="1"/>
  <c r="AH96" i="37"/>
  <c r="AH94" i="37" s="1"/>
  <c r="AH83" i="37"/>
  <c r="D26" i="28"/>
  <c r="L26" i="28" s="1"/>
  <c r="N26" i="28" s="1"/>
  <c r="C27" i="28"/>
  <c r="C30" i="1"/>
  <c r="D29" i="1"/>
  <c r="N29" i="1" s="1"/>
  <c r="P29" i="1" s="1"/>
  <c r="H25" i="18"/>
  <c r="L24" i="18"/>
  <c r="S144" i="38" l="1"/>
  <c r="T127" i="38"/>
  <c r="T135" i="38" s="1"/>
  <c r="T138" i="38" s="1"/>
  <c r="T143" i="38" s="1"/>
  <c r="T17" i="38"/>
  <c r="T29" i="38" s="1"/>
  <c r="T37" i="38" s="1"/>
  <c r="AN5" i="38"/>
  <c r="AD7" i="38" s="1"/>
  <c r="V7" i="38"/>
  <c r="U9" i="38"/>
  <c r="U8" i="38"/>
  <c r="S38" i="38"/>
  <c r="T16" i="38"/>
  <c r="T28" i="38" s="1"/>
  <c r="T36" i="38" s="1"/>
  <c r="T126" i="38"/>
  <c r="T134" i="38" s="1"/>
  <c r="T137" i="38" s="1"/>
  <c r="T142" i="38" s="1"/>
  <c r="AK123" i="38"/>
  <c r="AL122" i="38"/>
  <c r="AN130" i="38"/>
  <c r="AN131" i="38"/>
  <c r="AO116" i="38"/>
  <c r="AJ13" i="38"/>
  <c r="AK12" i="38"/>
  <c r="AI83" i="37"/>
  <c r="AI90" i="37"/>
  <c r="AI88" i="37" s="1"/>
  <c r="AJ19" i="37"/>
  <c r="AJ115" i="37"/>
  <c r="C31" i="1"/>
  <c r="D30" i="1"/>
  <c r="N30" i="1" s="1"/>
  <c r="P30" i="1" s="1"/>
  <c r="D27" i="28"/>
  <c r="L27" i="28" s="1"/>
  <c r="N27" i="28" s="1"/>
  <c r="C28" i="28"/>
  <c r="H26" i="18"/>
  <c r="L26" i="18" s="1"/>
  <c r="L25" i="18"/>
  <c r="T38" i="38" l="1"/>
  <c r="T144" i="38"/>
  <c r="U126" i="38"/>
  <c r="U134" i="38" s="1"/>
  <c r="U137" i="38" s="1"/>
  <c r="U142" i="38" s="1"/>
  <c r="U16" i="38"/>
  <c r="U28" i="38" s="1"/>
  <c r="U36" i="38" s="1"/>
  <c r="U127" i="38"/>
  <c r="U135" i="38" s="1"/>
  <c r="U138" i="38" s="1"/>
  <c r="U143" i="38" s="1"/>
  <c r="U17" i="38"/>
  <c r="U29" i="38" s="1"/>
  <c r="U37" i="38" s="1"/>
  <c r="W7" i="38"/>
  <c r="V9" i="38"/>
  <c r="V8" i="38"/>
  <c r="AE7" i="38"/>
  <c r="AD9" i="38"/>
  <c r="AD8" i="38"/>
  <c r="AL123" i="38"/>
  <c r="AM122" i="38"/>
  <c r="AO131" i="38"/>
  <c r="AO138" i="38" s="1"/>
  <c r="AO143" i="38" s="1"/>
  <c r="AO130" i="38"/>
  <c r="AO137" i="38" s="1"/>
  <c r="AO142" i="38" s="1"/>
  <c r="AP116" i="38"/>
  <c r="AK13" i="38"/>
  <c r="AL12" i="38"/>
  <c r="AJ24" i="37"/>
  <c r="D28" i="28"/>
  <c r="L28" i="28" s="1"/>
  <c r="N28" i="28" s="1"/>
  <c r="C29" i="28"/>
  <c r="D31" i="1"/>
  <c r="C33" i="1"/>
  <c r="C18" i="26" s="1"/>
  <c r="C35" i="1"/>
  <c r="D18" i="26" s="1"/>
  <c r="D19" i="26" s="1"/>
  <c r="AF7" i="38" l="1"/>
  <c r="AE9" i="38"/>
  <c r="AE8" i="38"/>
  <c r="AD126" i="38"/>
  <c r="AD134" i="38" s="1"/>
  <c r="AD137" i="38" s="1"/>
  <c r="AD142" i="38" s="1"/>
  <c r="AD144" i="38" s="1"/>
  <c r="AD16" i="38"/>
  <c r="AD28" i="38" s="1"/>
  <c r="AD36" i="38" s="1"/>
  <c r="V17" i="38"/>
  <c r="V29" i="38" s="1"/>
  <c r="V37" i="38" s="1"/>
  <c r="V127" i="38"/>
  <c r="V135" i="38" s="1"/>
  <c r="V138" i="38" s="1"/>
  <c r="V143" i="38" s="1"/>
  <c r="U38" i="38"/>
  <c r="V16" i="38"/>
  <c r="V28" i="38" s="1"/>
  <c r="V36" i="38" s="1"/>
  <c r="V126" i="38"/>
  <c r="V134" i="38" s="1"/>
  <c r="V137" i="38" s="1"/>
  <c r="V142" i="38" s="1"/>
  <c r="AD127" i="38"/>
  <c r="AD135" i="38" s="1"/>
  <c r="AD138" i="38" s="1"/>
  <c r="AD143" i="38" s="1"/>
  <c r="AD17" i="38"/>
  <c r="AD29" i="38" s="1"/>
  <c r="AD37" i="38" s="1"/>
  <c r="X7" i="38"/>
  <c r="W9" i="38"/>
  <c r="W8" i="38"/>
  <c r="U144" i="38"/>
  <c r="AM123" i="38"/>
  <c r="AN122" i="38"/>
  <c r="AQ116" i="38"/>
  <c r="AP131" i="38"/>
  <c r="AP138" i="38" s="1"/>
  <c r="AP143" i="38" s="1"/>
  <c r="AP130" i="38"/>
  <c r="AP137" i="38" s="1"/>
  <c r="AP142" i="38" s="1"/>
  <c r="AO144" i="38"/>
  <c r="AL13" i="38"/>
  <c r="AM12" i="38"/>
  <c r="AJ84" i="37"/>
  <c r="AJ34" i="37"/>
  <c r="AJ83" i="37" s="1"/>
  <c r="N31" i="1"/>
  <c r="D33" i="1"/>
  <c r="C19" i="26" s="1"/>
  <c r="D35" i="1"/>
  <c r="D29" i="28"/>
  <c r="L29" i="28" s="1"/>
  <c r="N29" i="28" s="1"/>
  <c r="C30" i="28"/>
  <c r="V38" i="38" l="1"/>
  <c r="AE126" i="38"/>
  <c r="AE134" i="38" s="1"/>
  <c r="AE137" i="38" s="1"/>
  <c r="AE142" i="38" s="1"/>
  <c r="AE16" i="38"/>
  <c r="AE28" i="38" s="1"/>
  <c r="AE36" i="38" s="1"/>
  <c r="W17" i="38"/>
  <c r="W29" i="38" s="1"/>
  <c r="W37" i="38" s="1"/>
  <c r="W127" i="38"/>
  <c r="W135" i="38" s="1"/>
  <c r="W138" i="38" s="1"/>
  <c r="W143" i="38" s="1"/>
  <c r="V144" i="38"/>
  <c r="AE127" i="38"/>
  <c r="AE135" i="38" s="1"/>
  <c r="AE138" i="38" s="1"/>
  <c r="AE143" i="38" s="1"/>
  <c r="AE17" i="38"/>
  <c r="AE29" i="38" s="1"/>
  <c r="AE37" i="38" s="1"/>
  <c r="W126" i="38"/>
  <c r="W134" i="38" s="1"/>
  <c r="W137" i="38" s="1"/>
  <c r="W142" i="38" s="1"/>
  <c r="W144" i="38" s="1"/>
  <c r="W16" i="38"/>
  <c r="W28" i="38" s="1"/>
  <c r="W36" i="38" s="1"/>
  <c r="Y7" i="38"/>
  <c r="X9" i="38"/>
  <c r="X8" i="38"/>
  <c r="AD38" i="38"/>
  <c r="AG7" i="38"/>
  <c r="AF9" i="38"/>
  <c r="AF8" i="38"/>
  <c r="AQ131" i="38"/>
  <c r="AQ138" i="38" s="1"/>
  <c r="AQ143" i="38" s="1"/>
  <c r="AQ130" i="38"/>
  <c r="AQ137" i="38" s="1"/>
  <c r="AQ142" i="38" s="1"/>
  <c r="AO122" i="38"/>
  <c r="AN123" i="38"/>
  <c r="AP144" i="38"/>
  <c r="AN12" i="38"/>
  <c r="AM13" i="38"/>
  <c r="AJ94" i="37"/>
  <c r="B119" i="37" s="1"/>
  <c r="AJ96" i="37"/>
  <c r="AJ88" i="37"/>
  <c r="B118" i="37" s="1"/>
  <c r="AJ90" i="37"/>
  <c r="D30" i="28"/>
  <c r="C39" i="28"/>
  <c r="C41" i="28"/>
  <c r="E18" i="26" s="1"/>
  <c r="E19" i="26" s="1"/>
  <c r="N33" i="1"/>
  <c r="P38" i="1" s="1"/>
  <c r="D21" i="26" s="1"/>
  <c r="P31" i="1"/>
  <c r="P33" i="1" s="1"/>
  <c r="P37" i="1" s="1"/>
  <c r="D20" i="26" s="1"/>
  <c r="AF126" i="38" l="1"/>
  <c r="AF134" i="38" s="1"/>
  <c r="AF137" i="38" s="1"/>
  <c r="AF142" i="38" s="1"/>
  <c r="AF16" i="38"/>
  <c r="AF28" i="38" s="1"/>
  <c r="AF36" i="38" s="1"/>
  <c r="X126" i="38"/>
  <c r="X134" i="38" s="1"/>
  <c r="X137" i="38" s="1"/>
  <c r="X142" i="38" s="1"/>
  <c r="X16" i="38"/>
  <c r="X28" i="38" s="1"/>
  <c r="X36" i="38" s="1"/>
  <c r="X38" i="38" s="1"/>
  <c r="AF127" i="38"/>
  <c r="AF135" i="38" s="1"/>
  <c r="AF138" i="38" s="1"/>
  <c r="AF143" i="38" s="1"/>
  <c r="AF17" i="38"/>
  <c r="AF29" i="38" s="1"/>
  <c r="AF37" i="38" s="1"/>
  <c r="X17" i="38"/>
  <c r="X29" i="38" s="1"/>
  <c r="X37" i="38" s="1"/>
  <c r="X127" i="38"/>
  <c r="X135" i="38" s="1"/>
  <c r="X138" i="38" s="1"/>
  <c r="X143" i="38" s="1"/>
  <c r="AH7" i="38"/>
  <c r="AG8" i="38"/>
  <c r="AG9" i="38"/>
  <c r="Z7" i="38"/>
  <c r="Y8" i="38"/>
  <c r="Y9" i="38"/>
  <c r="AE38" i="38"/>
  <c r="W38" i="38"/>
  <c r="AE144" i="38"/>
  <c r="AQ144" i="38"/>
  <c r="AP122" i="38"/>
  <c r="AO123" i="38"/>
  <c r="AN13" i="38"/>
  <c r="L30" i="28"/>
  <c r="D41" i="28"/>
  <c r="D39" i="28"/>
  <c r="AG127" i="38" l="1"/>
  <c r="AG135" i="38" s="1"/>
  <c r="AG138" i="38" s="1"/>
  <c r="AG143" i="38" s="1"/>
  <c r="AG17" i="38"/>
  <c r="AG29" i="38" s="1"/>
  <c r="AG37" i="38" s="1"/>
  <c r="X144" i="38"/>
  <c r="Y127" i="38"/>
  <c r="Y135" i="38" s="1"/>
  <c r="Y138" i="38" s="1"/>
  <c r="Y143" i="38" s="1"/>
  <c r="Y17" i="38"/>
  <c r="Y29" i="38" s="1"/>
  <c r="Y37" i="38" s="1"/>
  <c r="AG126" i="38"/>
  <c r="AG134" i="38" s="1"/>
  <c r="AG137" i="38" s="1"/>
  <c r="AG142" i="38" s="1"/>
  <c r="AG16" i="38"/>
  <c r="AG28" i="38" s="1"/>
  <c r="AG36" i="38" s="1"/>
  <c r="AF38" i="38"/>
  <c r="AA7" i="38"/>
  <c r="Z9" i="38"/>
  <c r="Z8" i="38"/>
  <c r="Y16" i="38"/>
  <c r="Y28" i="38" s="1"/>
  <c r="Y36" i="38" s="1"/>
  <c r="Y126" i="38"/>
  <c r="Y134" i="38" s="1"/>
  <c r="Y137" i="38" s="1"/>
  <c r="Y142" i="38" s="1"/>
  <c r="AI7" i="38"/>
  <c r="AH9" i="38"/>
  <c r="AH8" i="38"/>
  <c r="AF144" i="38"/>
  <c r="AN127" i="38"/>
  <c r="AN135" i="38" s="1"/>
  <c r="AN138" i="38" s="1"/>
  <c r="AN143" i="38" s="1"/>
  <c r="AN126" i="38"/>
  <c r="AN134" i="38" s="1"/>
  <c r="AN137" i="38" s="1"/>
  <c r="AN142" i="38" s="1"/>
  <c r="AP123" i="38"/>
  <c r="AQ122" i="38"/>
  <c r="AQ123" i="38" s="1"/>
  <c r="AN16" i="38"/>
  <c r="AN28" i="38" s="1"/>
  <c r="AN36" i="38" s="1"/>
  <c r="AN17" i="38"/>
  <c r="AN29" i="38" s="1"/>
  <c r="AN37" i="38" s="1"/>
  <c r="L39" i="28"/>
  <c r="N44" i="28" s="1"/>
  <c r="E21" i="26" s="1"/>
  <c r="N30" i="28"/>
  <c r="N39" i="28" s="1"/>
  <c r="N43" i="28" s="1"/>
  <c r="E20" i="26" s="1"/>
  <c r="AG144" i="38" l="1"/>
  <c r="Y38" i="38"/>
  <c r="AG38" i="38"/>
  <c r="AH127" i="38"/>
  <c r="AH135" i="38" s="1"/>
  <c r="AH138" i="38" s="1"/>
  <c r="AH143" i="38" s="1"/>
  <c r="AH17" i="38"/>
  <c r="AH29" i="38" s="1"/>
  <c r="AH37" i="38" s="1"/>
  <c r="AJ7" i="38"/>
  <c r="AI9" i="38"/>
  <c r="AI8" i="38"/>
  <c r="Z127" i="38"/>
  <c r="Z135" i="38" s="1"/>
  <c r="Z138" i="38" s="1"/>
  <c r="Z143" i="38" s="1"/>
  <c r="Z17" i="38"/>
  <c r="Z29" i="38" s="1"/>
  <c r="Z37" i="38" s="1"/>
  <c r="AH126" i="38"/>
  <c r="AH134" i="38" s="1"/>
  <c r="AH137" i="38" s="1"/>
  <c r="AH142" i="38" s="1"/>
  <c r="AH16" i="38"/>
  <c r="AH28" i="38" s="1"/>
  <c r="AH36" i="38" s="1"/>
  <c r="Z126" i="38"/>
  <c r="Z134" i="38" s="1"/>
  <c r="Z137" i="38" s="1"/>
  <c r="Z142" i="38" s="1"/>
  <c r="Z144" i="38" s="1"/>
  <c r="Z16" i="38"/>
  <c r="Z28" i="38" s="1"/>
  <c r="Z36" i="38" s="1"/>
  <c r="Z38" i="38" s="1"/>
  <c r="Y144" i="38"/>
  <c r="AB7" i="38"/>
  <c r="AA9" i="38"/>
  <c r="AA8" i="38"/>
  <c r="AN144" i="38"/>
  <c r="AN38" i="38"/>
  <c r="AH144" i="38" l="1"/>
  <c r="AH38" i="38"/>
  <c r="AA127" i="38"/>
  <c r="AA135" i="38" s="1"/>
  <c r="AA138" i="38" s="1"/>
  <c r="AA143" i="38" s="1"/>
  <c r="AA17" i="38"/>
  <c r="AA29" i="38" s="1"/>
  <c r="AA37" i="38" s="1"/>
  <c r="AI127" i="38"/>
  <c r="AI135" i="38" s="1"/>
  <c r="AI138" i="38" s="1"/>
  <c r="AI143" i="38" s="1"/>
  <c r="AI17" i="38"/>
  <c r="AI29" i="38" s="1"/>
  <c r="AI37" i="38" s="1"/>
  <c r="AA126" i="38"/>
  <c r="AA134" i="38" s="1"/>
  <c r="AA137" i="38" s="1"/>
  <c r="AA142" i="38" s="1"/>
  <c r="AA16" i="38"/>
  <c r="AA28" i="38" s="1"/>
  <c r="AA36" i="38" s="1"/>
  <c r="AA38" i="38" s="1"/>
  <c r="AK7" i="38"/>
  <c r="AJ9" i="38"/>
  <c r="AJ8" i="38"/>
  <c r="AB9" i="38"/>
  <c r="AB8" i="38"/>
  <c r="AI126" i="38"/>
  <c r="AI134" i="38" s="1"/>
  <c r="AI137" i="38" s="1"/>
  <c r="AI142" i="38" s="1"/>
  <c r="AI16" i="38"/>
  <c r="AI28" i="38" s="1"/>
  <c r="AI36" i="38" s="1"/>
  <c r="AA144" i="38" l="1"/>
  <c r="AI144" i="38"/>
  <c r="AJ17" i="38"/>
  <c r="AJ29" i="38" s="1"/>
  <c r="AJ37" i="38" s="1"/>
  <c r="AJ127" i="38"/>
  <c r="AJ135" i="38" s="1"/>
  <c r="AJ138" i="38" s="1"/>
  <c r="AJ143" i="38" s="1"/>
  <c r="AB16" i="38"/>
  <c r="AB28" i="38" s="1"/>
  <c r="AB36" i="38" s="1"/>
  <c r="AB126" i="38"/>
  <c r="AB134" i="38" s="1"/>
  <c r="AB137" i="38" s="1"/>
  <c r="AB142" i="38" s="1"/>
  <c r="AL7" i="38"/>
  <c r="AK9" i="38"/>
  <c r="AK8" i="38"/>
  <c r="AB127" i="38"/>
  <c r="AB135" i="38" s="1"/>
  <c r="AB138" i="38" s="1"/>
  <c r="AB143" i="38" s="1"/>
  <c r="AB17" i="38"/>
  <c r="AB29" i="38" s="1"/>
  <c r="AB37" i="38" s="1"/>
  <c r="AI38" i="38"/>
  <c r="AJ126" i="38"/>
  <c r="AJ134" i="38" s="1"/>
  <c r="AJ137" i="38" s="1"/>
  <c r="AJ142" i="38" s="1"/>
  <c r="AJ16" i="38"/>
  <c r="AJ28" i="38" s="1"/>
  <c r="AJ36" i="38" s="1"/>
  <c r="AJ144" i="38" l="1"/>
  <c r="AB38" i="38"/>
  <c r="AJ38" i="38"/>
  <c r="AK17" i="38"/>
  <c r="AK29" i="38" s="1"/>
  <c r="AK37" i="38" s="1"/>
  <c r="AK127" i="38"/>
  <c r="AK135" i="38" s="1"/>
  <c r="AK138" i="38" s="1"/>
  <c r="AK143" i="38" s="1"/>
  <c r="AB144" i="38"/>
  <c r="AK16" i="38"/>
  <c r="AK28" i="38" s="1"/>
  <c r="AK36" i="38" s="1"/>
  <c r="AK126" i="38"/>
  <c r="AK134" i="38" s="1"/>
  <c r="AK137" i="38" s="1"/>
  <c r="AK142" i="38" s="1"/>
  <c r="AM7" i="38"/>
  <c r="AL9" i="38"/>
  <c r="AL8" i="38"/>
  <c r="AK38" i="38" l="1"/>
  <c r="AL126" i="38"/>
  <c r="AL134" i="38" s="1"/>
  <c r="AL137" i="38" s="1"/>
  <c r="AL142" i="38" s="1"/>
  <c r="AL16" i="38"/>
  <c r="AL28" i="38" s="1"/>
  <c r="AL36" i="38" s="1"/>
  <c r="AL127" i="38"/>
  <c r="AL135" i="38" s="1"/>
  <c r="AL138" i="38" s="1"/>
  <c r="AL143" i="38" s="1"/>
  <c r="AL17" i="38"/>
  <c r="AL29" i="38" s="1"/>
  <c r="AL37" i="38" s="1"/>
  <c r="AM9" i="38"/>
  <c r="AM8" i="38"/>
  <c r="AK144" i="38"/>
  <c r="AM16" i="38" l="1"/>
  <c r="AM28" i="38" s="1"/>
  <c r="AM36" i="38" s="1"/>
  <c r="AM126" i="38"/>
  <c r="AM134" i="38" s="1"/>
  <c r="AM137" i="38" s="1"/>
  <c r="AM142" i="38" s="1"/>
  <c r="AL38" i="38"/>
  <c r="AM17" i="38"/>
  <c r="AM29" i="38" s="1"/>
  <c r="AM37" i="38" s="1"/>
  <c r="AM127" i="38"/>
  <c r="AM135" i="38" s="1"/>
  <c r="AM138" i="38" s="1"/>
  <c r="AM143" i="38" s="1"/>
  <c r="AL144" i="38"/>
  <c r="AM144" i="38" l="1"/>
  <c r="AM38" i="38"/>
</calcChain>
</file>

<file path=xl/comments1.xml><?xml version="1.0" encoding="utf-8"?>
<comments xmlns="http://schemas.openxmlformats.org/spreadsheetml/2006/main">
  <authors>
    <author>Cambridge Systematics, Inc.</author>
  </authors>
  <commentList>
    <comment ref="B44" authorId="0">
      <text>
        <r>
          <rPr>
            <sz val="8"/>
            <color indexed="81"/>
            <rFont val="Tahoma"/>
            <family val="2"/>
          </rPr>
          <t>EPA rule aims for 90% reduction in all new vehicles by 2010.  This estimate reflects an assumed phase-in period for new trucks, based on normal aging and attrition of the existing truck fleet.</t>
        </r>
      </text>
    </comment>
  </commentList>
</comments>
</file>

<file path=xl/comments2.xml><?xml version="1.0" encoding="utf-8"?>
<comments xmlns="http://schemas.openxmlformats.org/spreadsheetml/2006/main">
  <authors>
    <author>Clawson, David W</author>
    <author>Elaine Croft McKenzie</author>
  </authors>
  <commentList>
    <comment ref="C9" authorId="0">
      <text>
        <r>
          <rPr>
            <b/>
            <sz val="9"/>
            <color indexed="81"/>
            <rFont val="Tahoma"/>
            <family val="2"/>
          </rPr>
          <t>Clawson, David W:</t>
        </r>
        <r>
          <rPr>
            <sz val="9"/>
            <color indexed="81"/>
            <rFont val="Tahoma"/>
            <family val="2"/>
          </rPr>
          <t xml:space="preserve">
Should we assume this percentage increases at all?</t>
        </r>
      </text>
    </comment>
    <comment ref="B34" authorId="0">
      <text>
        <r>
          <rPr>
            <b/>
            <sz val="9"/>
            <color indexed="81"/>
            <rFont val="Tahoma"/>
            <family val="2"/>
          </rPr>
          <t>Clawson, David W:</t>
        </r>
        <r>
          <rPr>
            <sz val="9"/>
            <color indexed="81"/>
            <rFont val="Tahoma"/>
            <family val="2"/>
          </rPr>
          <t xml:space="preserve">
Google Earth Measuring Tool</t>
        </r>
      </text>
    </comment>
    <comment ref="B47" authorId="0">
      <text>
        <r>
          <rPr>
            <b/>
            <sz val="9"/>
            <color indexed="81"/>
            <rFont val="Tahoma"/>
            <family val="2"/>
          </rPr>
          <t>Clawson, David W:</t>
        </r>
        <r>
          <rPr>
            <sz val="9"/>
            <color indexed="81"/>
            <rFont val="Tahoma"/>
            <family val="2"/>
          </rPr>
          <t xml:space="preserve">
USDOT BCA Resource Guide, pg 5</t>
        </r>
      </text>
    </comment>
    <comment ref="B48" authorId="0">
      <text>
        <r>
          <rPr>
            <b/>
            <sz val="9"/>
            <color indexed="81"/>
            <rFont val="Tahoma"/>
            <family val="2"/>
          </rPr>
          <t>Clawson, David W:</t>
        </r>
        <r>
          <rPr>
            <sz val="9"/>
            <color indexed="81"/>
            <rFont val="Tahoma"/>
            <family val="2"/>
          </rPr>
          <t xml:space="preserve">
USDOT BCA Resource Guide, pg 5</t>
        </r>
      </text>
    </comment>
    <comment ref="C72" authorId="0">
      <text>
        <r>
          <rPr>
            <b/>
            <sz val="9"/>
            <color indexed="81"/>
            <rFont val="Tahoma"/>
            <family val="2"/>
          </rPr>
          <t>Clawson, David W:</t>
        </r>
        <r>
          <rPr>
            <sz val="9"/>
            <color indexed="81"/>
            <rFont val="Tahoma"/>
            <family val="2"/>
          </rPr>
          <t xml:space="preserve">
Should we assume this percentage increases at all?</t>
        </r>
      </text>
    </comment>
    <comment ref="C78" authorId="0">
      <text>
        <r>
          <rPr>
            <b/>
            <sz val="9"/>
            <color indexed="81"/>
            <rFont val="Tahoma"/>
            <family val="2"/>
          </rPr>
          <t>Clawson, David W:</t>
        </r>
        <r>
          <rPr>
            <sz val="9"/>
            <color indexed="81"/>
            <rFont val="Tahoma"/>
            <family val="2"/>
          </rPr>
          <t xml:space="preserve">
Should we assume this percentage increases at all?</t>
        </r>
      </text>
    </comment>
    <comment ref="C84" authorId="0">
      <text>
        <r>
          <rPr>
            <b/>
            <sz val="9"/>
            <color indexed="81"/>
            <rFont val="Tahoma"/>
            <family val="2"/>
          </rPr>
          <t>Clawson, David W:</t>
        </r>
        <r>
          <rPr>
            <sz val="9"/>
            <color indexed="81"/>
            <rFont val="Tahoma"/>
            <family val="2"/>
          </rPr>
          <t xml:space="preserve">
Should we assume this percentage increases at all?</t>
        </r>
      </text>
    </comment>
    <comment ref="I129" authorId="1">
      <text>
        <r>
          <rPr>
            <b/>
            <sz val="9"/>
            <color indexed="81"/>
            <rFont val="Tahoma"/>
            <family val="2"/>
          </rPr>
          <t xml:space="preserve">See "Vehicle Diversion" Tab
</t>
        </r>
      </text>
    </comment>
  </commentList>
</comments>
</file>

<file path=xl/comments3.xml><?xml version="1.0" encoding="utf-8"?>
<comments xmlns="http://schemas.openxmlformats.org/spreadsheetml/2006/main">
  <authors>
    <author>Maynard, Michael K</author>
  </authors>
  <commentList>
    <comment ref="C116" authorId="0">
      <text>
        <r>
          <rPr>
            <b/>
            <sz val="9"/>
            <color indexed="81"/>
            <rFont val="Tahoma"/>
            <family val="2"/>
          </rPr>
          <t>Maynard, Michael K:</t>
        </r>
        <r>
          <rPr>
            <sz val="9"/>
            <color indexed="81"/>
            <rFont val="Tahoma"/>
            <family val="2"/>
          </rPr>
          <t xml:space="preserve">
COUNTY BASE MILLAGE RATE
Richland County </t>
        </r>
        <r>
          <rPr>
            <sz val="9"/>
            <color indexed="10"/>
            <rFont val="Tahoma"/>
            <family val="2"/>
          </rPr>
          <t>.10810</t>
        </r>
        <r>
          <rPr>
            <sz val="9"/>
            <color indexed="81"/>
            <rFont val="Tahoma"/>
            <family val="2"/>
          </rPr>
          <t xml:space="preserve">
Millage Rates
* County Base Includes: County Operations, Library, Bonds, Mental Health,
Riverbanks Zoo Operating, Landfill, Capital Replacement, Riverbanks Zoo Bonds,
Midlands Tech, Countywide Fire, Conservation Commission, Neighborhood
Redevelopment
MUNICIPAL MILLAGE
City Millage Rate
Cayce .04330
Columbia .09810
Eastover .12000
Forest Acres .04700
SCHOOL DISTRICT MILLAGE
School District Millage Rate
Lexington 5 .27440
</t>
        </r>
        <r>
          <rPr>
            <sz val="9"/>
            <color indexed="10"/>
            <rFont val="Tahoma"/>
            <family val="2"/>
          </rPr>
          <t>Richland 1 .29610</t>
        </r>
        <r>
          <rPr>
            <sz val="9"/>
            <color indexed="81"/>
            <rFont val="Tahoma"/>
            <family val="2"/>
          </rPr>
          <t xml:space="preserve">
Richland 2 .36750
Fee Name Purpose Location Fee
Special Fees (additional charges)
Residential Solid Waste
Fee
Solid Waste Unincorporated areas $249.00
Road Maintenance Fee Repair County All motor vehicles
Roads
$20.00
Industrial Abatements (exemption for qualified industries)
Jurisdiction Millage Rate
County Abatement 0.08420
$1,430,000
Value of One Mil (based on county operations only)
This helps determine the county's tax base for comparative analyses.
OTHER MILLAGES NOT INCLUDED IN COUNTY BASE
Name Purpose Location Millage Rate
East Richland PSD Water/Sewer
Bonds
Roughly Arcadia Lakes &amp;
Forest Acres
.00400
Recreation Bonds Recreation
Bonds
Countywide less Columbia </t>
        </r>
        <r>
          <rPr>
            <sz val="9"/>
            <color indexed="10"/>
            <rFont val="Tahoma"/>
            <family val="2"/>
          </rPr>
          <t>.00300</t>
        </r>
        <r>
          <rPr>
            <sz val="9"/>
            <color indexed="81"/>
            <rFont val="Tahoma"/>
            <family val="2"/>
          </rPr>
          <t xml:space="preserve">
Recreation Commission Recreation Countywide less Columbia</t>
        </r>
        <r>
          <rPr>
            <sz val="9"/>
            <color indexed="10"/>
            <rFont val="Tahoma"/>
            <family val="2"/>
          </rPr>
          <t xml:space="preserve"> .01110</t>
        </r>
        <r>
          <rPr>
            <sz val="9"/>
            <color indexed="81"/>
            <rFont val="Tahoma"/>
            <family val="2"/>
          </rPr>
          <t xml:space="preserve">
Rural Fire Fire Bonds Countywide less Arcadia Lakes,
Columbia, &amp; Irmo
</t>
        </r>
        <r>
          <rPr>
            <sz val="9"/>
            <color indexed="10"/>
            <rFont val="Tahoma"/>
            <family val="2"/>
          </rPr>
          <t>.00180</t>
        </r>
        <r>
          <rPr>
            <sz val="9"/>
            <color indexed="81"/>
            <rFont val="Tahoma"/>
            <family val="2"/>
          </rPr>
          <t xml:space="preserve">
Stormwater Management Stormwater </t>
        </r>
        <r>
          <rPr>
            <sz val="9"/>
            <color indexed="10"/>
            <rFont val="Tahoma"/>
            <family val="2"/>
          </rPr>
          <t>.00310</t>
        </r>
      </text>
    </comment>
    <comment ref="B123" authorId="0">
      <text>
        <r>
          <rPr>
            <b/>
            <sz val="9"/>
            <color indexed="81"/>
            <rFont val="Tahoma"/>
            <family val="2"/>
          </rPr>
          <t>Maynard, Michael K:</t>
        </r>
        <r>
          <rPr>
            <sz val="9"/>
            <color indexed="81"/>
            <rFont val="Tahoma"/>
            <family val="2"/>
          </rPr>
          <t xml:space="preserve">
2020 value of CO2 tons
</t>
        </r>
      </text>
    </comment>
    <comment ref="B128" authorId="0">
      <text>
        <r>
          <rPr>
            <b/>
            <sz val="9"/>
            <color indexed="81"/>
            <rFont val="Tahoma"/>
            <family val="2"/>
          </rPr>
          <t>Maynard, Michael K:</t>
        </r>
        <r>
          <rPr>
            <sz val="9"/>
            <color indexed="81"/>
            <rFont val="Tahoma"/>
            <family val="2"/>
          </rPr>
          <t xml:space="preserve">
From MZ Email
</t>
        </r>
      </text>
    </comment>
    <comment ref="F128" authorId="0">
      <text>
        <r>
          <rPr>
            <b/>
            <sz val="9"/>
            <color indexed="81"/>
            <rFont val="Tahoma"/>
            <family val="2"/>
          </rPr>
          <t>Maynard, Michael K:</t>
        </r>
        <r>
          <rPr>
            <sz val="9"/>
            <color indexed="81"/>
            <rFont val="Tahoma"/>
            <family val="2"/>
          </rPr>
          <t xml:space="preserve">
Length in feet x width
</t>
        </r>
      </text>
    </comment>
  </commentList>
</comments>
</file>

<file path=xl/comments4.xml><?xml version="1.0" encoding="utf-8"?>
<comments xmlns="http://schemas.openxmlformats.org/spreadsheetml/2006/main">
  <authors>
    <author>Maynard, Michael K</author>
  </authors>
  <commentList>
    <comment ref="C12" authorId="0">
      <text>
        <r>
          <rPr>
            <b/>
            <sz val="9"/>
            <color indexed="81"/>
            <rFont val="Tahoma"/>
            <family val="2"/>
          </rPr>
          <t>Maynard, Michael K:</t>
        </r>
        <r>
          <rPr>
            <sz val="9"/>
            <color indexed="81"/>
            <rFont val="Tahoma"/>
            <family val="2"/>
          </rPr>
          <t xml:space="preserve">
2% annual increase in costs
</t>
        </r>
      </text>
    </comment>
  </commentList>
</comments>
</file>

<file path=xl/comments5.xml><?xml version="1.0" encoding="utf-8"?>
<comments xmlns="http://schemas.openxmlformats.org/spreadsheetml/2006/main">
  <authors>
    <author>Maynard, Michael K</author>
  </authors>
  <commentList>
    <comment ref="C11" authorId="0">
      <text>
        <r>
          <rPr>
            <b/>
            <sz val="9"/>
            <color indexed="81"/>
            <rFont val="Tahoma"/>
            <family val="2"/>
          </rPr>
          <t>Maynard, Michael K:</t>
        </r>
        <r>
          <rPr>
            <sz val="9"/>
            <color indexed="81"/>
            <rFont val="Tahoma"/>
            <family val="2"/>
          </rPr>
          <t xml:space="preserve">
2% annual increase in costs
</t>
        </r>
      </text>
    </comment>
  </commentList>
</comments>
</file>

<file path=xl/comments6.xml><?xml version="1.0" encoding="utf-8"?>
<comments xmlns="http://schemas.openxmlformats.org/spreadsheetml/2006/main">
  <authors>
    <author>Maynard, Michael K</author>
  </authors>
  <commentList>
    <comment ref="A19" authorId="0">
      <text>
        <r>
          <rPr>
            <b/>
            <sz val="9"/>
            <color indexed="81"/>
            <rFont val="Tahoma"/>
            <family val="2"/>
          </rPr>
          <t>Maynard, Michael K:</t>
        </r>
        <r>
          <rPr>
            <sz val="9"/>
            <color indexed="81"/>
            <rFont val="Tahoma"/>
            <family val="2"/>
          </rPr>
          <t xml:space="preserve">
total miles saved in driving divided by 1,000,000
</t>
        </r>
      </text>
    </comment>
    <comment ref="B19" authorId="0">
      <text>
        <r>
          <rPr>
            <b/>
            <sz val="9"/>
            <color indexed="81"/>
            <rFont val="Tahoma"/>
            <family val="2"/>
          </rPr>
          <t>Maynard, Michael K:</t>
        </r>
        <r>
          <rPr>
            <sz val="9"/>
            <color indexed="81"/>
            <rFont val="Tahoma"/>
            <family val="2"/>
          </rPr>
          <t xml:space="preserve">
Since slightly more miles will be driven as a result of the shop rd extension it is a negative value</t>
        </r>
      </text>
    </comment>
    <comment ref="A35" authorId="0">
      <text>
        <r>
          <rPr>
            <b/>
            <sz val="9"/>
            <color indexed="81"/>
            <rFont val="Tahoma"/>
            <family val="2"/>
          </rPr>
          <t>Maynard, Michael K:</t>
        </r>
        <r>
          <rPr>
            <sz val="9"/>
            <color indexed="81"/>
            <rFont val="Tahoma"/>
            <family val="2"/>
          </rPr>
          <t xml:space="preserve">
 8,482 grams of CO2 are released by burning one gallon of gasoline </t>
        </r>
      </text>
    </comment>
  </commentList>
</comments>
</file>

<file path=xl/comments7.xml><?xml version="1.0" encoding="utf-8"?>
<comments xmlns="http://schemas.openxmlformats.org/spreadsheetml/2006/main">
  <authors>
    <author>Maynard, Michael K</author>
  </authors>
  <commentList>
    <comment ref="B11" authorId="0">
      <text>
        <r>
          <rPr>
            <b/>
            <sz val="9"/>
            <color indexed="81"/>
            <rFont val="Tahoma"/>
            <family val="2"/>
          </rPr>
          <t>Maynard, Michael K:</t>
        </r>
        <r>
          <rPr>
            <sz val="9"/>
            <color indexed="81"/>
            <rFont val="Tahoma"/>
            <family val="2"/>
          </rPr>
          <t xml:space="preserve">
APPR report indicates 66% reduction in traffic on Pineville Road (2 Crossings)
</t>
        </r>
      </text>
    </comment>
  </commentList>
</comments>
</file>

<file path=xl/comments8.xml><?xml version="1.0" encoding="utf-8"?>
<comments xmlns="http://schemas.openxmlformats.org/spreadsheetml/2006/main">
  <authors>
    <author>Maynard, Michael K</author>
  </authors>
  <commentList>
    <comment ref="K26" authorId="0">
      <text>
        <r>
          <rPr>
            <b/>
            <sz val="9"/>
            <color indexed="81"/>
            <rFont val="Tahoma"/>
            <family val="2"/>
          </rPr>
          <t>Maynard, Michael K:</t>
        </r>
        <r>
          <rPr>
            <sz val="9"/>
            <color indexed="81"/>
            <rFont val="Tahoma"/>
            <family val="2"/>
          </rPr>
          <t xml:space="preserve">
Assumes there are 50% less major intersections on diverted route (SHOP RD EXT)</t>
        </r>
      </text>
    </comment>
  </commentList>
</comments>
</file>

<file path=xl/sharedStrings.xml><?xml version="1.0" encoding="utf-8"?>
<sst xmlns="http://schemas.openxmlformats.org/spreadsheetml/2006/main" count="2262" uniqueCount="1236">
  <si>
    <t>Costs</t>
  </si>
  <si>
    <t>Time</t>
  </si>
  <si>
    <t>VOC</t>
  </si>
  <si>
    <t>DATA</t>
  </si>
  <si>
    <t>NPV =</t>
  </si>
  <si>
    <t>B/C =</t>
  </si>
  <si>
    <t>VHT Savings (Hours/Day)</t>
  </si>
  <si>
    <t>VHT Savings (Hours/Year)</t>
  </si>
  <si>
    <t>Capital</t>
  </si>
  <si>
    <t>Total</t>
  </si>
  <si>
    <t>Total Costs</t>
  </si>
  <si>
    <t>Net Benefits</t>
  </si>
  <si>
    <t>Benefits</t>
  </si>
  <si>
    <t>Discount Rate</t>
  </si>
  <si>
    <t>Factor</t>
  </si>
  <si>
    <t>Discount</t>
  </si>
  <si>
    <t>Vehicle Distribution</t>
  </si>
  <si>
    <t>Total Vehicle Time Savings</t>
  </si>
  <si>
    <t>Travel Time Savings Calculations</t>
  </si>
  <si>
    <t>Travel Time References</t>
  </si>
  <si>
    <t>Vehicle Operating Cost Savings</t>
  </si>
  <si>
    <t>Reference</t>
  </si>
  <si>
    <t>Cost Savings per Mile</t>
  </si>
  <si>
    <t>Residual Values</t>
  </si>
  <si>
    <t>Roadway</t>
  </si>
  <si>
    <t>Value of Right-of-Way</t>
  </si>
  <si>
    <t>Value of Bridges</t>
  </si>
  <si>
    <t>Value of Roadway</t>
  </si>
  <si>
    <t>Residual Calculation</t>
  </si>
  <si>
    <t>Cost</t>
  </si>
  <si>
    <t>Bridge</t>
  </si>
  <si>
    <t>ROW</t>
  </si>
  <si>
    <t>Total Value</t>
  </si>
  <si>
    <t>Miles</t>
  </si>
  <si>
    <t>NPV</t>
  </si>
  <si>
    <t>Auto</t>
  </si>
  <si>
    <t>Truck</t>
  </si>
  <si>
    <t xml:space="preserve">Truck </t>
  </si>
  <si>
    <t>Travel Time Savings Values Per Hour</t>
  </si>
  <si>
    <t>VMT Savings (Miles/Day)</t>
  </si>
  <si>
    <t>VMT Savings (Miles/Year)</t>
  </si>
  <si>
    <t>Average Cost Per Mile</t>
  </si>
  <si>
    <t>Cross Check Capital Cost - Total Value</t>
  </si>
  <si>
    <t>Right-of-Way Residual</t>
  </si>
  <si>
    <t>Bridge Residual</t>
  </si>
  <si>
    <t>Roadway Residual</t>
  </si>
  <si>
    <t>Benefit-Cost Inputs</t>
  </si>
  <si>
    <t>Taxes from Job Growth</t>
  </si>
  <si>
    <t>Property Tax Increase</t>
  </si>
  <si>
    <t>Residual Value</t>
  </si>
  <si>
    <t>Job Creation Tax Benefits</t>
  </si>
  <si>
    <t>Estimate of Construction Based Jobs Created</t>
  </si>
  <si>
    <t>(Years of Employment Staggered during Construction Period)</t>
  </si>
  <si>
    <t>Tax Percentage per Job</t>
  </si>
  <si>
    <t>Net Long-Term Economic Development Jobs Created</t>
  </si>
  <si>
    <t>(Shown from 2020 on)</t>
  </si>
  <si>
    <t>Average Wages per Job (2010)</t>
  </si>
  <si>
    <t>Based on Redevelopment/Land Use Analysis</t>
  </si>
  <si>
    <t>Property Tax Benefits Through Development</t>
  </si>
  <si>
    <t>Notes</t>
  </si>
  <si>
    <t>Net Gain in Value per Acre</t>
  </si>
  <si>
    <t>Property Tax Rate that Applies</t>
  </si>
  <si>
    <t>Construction jobs shown during construction phase.  Long-term jobs shown phased in 10% per year starting 2015.</t>
  </si>
  <si>
    <t>Carbon Reductions</t>
  </si>
  <si>
    <t>Values of Carbon Saved</t>
  </si>
  <si>
    <t>Total Tons of Carbon Saved Per Year on Average</t>
  </si>
  <si>
    <t>Based on Change in 2030 Vehicle Miles Traveled (in tons not metric tonnes)</t>
  </si>
  <si>
    <t>Maintenance</t>
  </si>
  <si>
    <t>Calculated based on savings per day inputted below</t>
  </si>
  <si>
    <t>Value per Ton of Carbon</t>
  </si>
  <si>
    <t>Miles in length</t>
  </si>
  <si>
    <t>Annual Maintenance</t>
  </si>
  <si>
    <t>VHT Savings (hour/day)</t>
  </si>
  <si>
    <t>VHT Savings (hour/year)</t>
  </si>
  <si>
    <t>Based on AAA average cost per mile of vehicle operations data.</t>
  </si>
  <si>
    <t>http://www.thetruckersreport.com/infographics/cost-of-trucking/</t>
  </si>
  <si>
    <t>Crash Savings Benefits</t>
  </si>
  <si>
    <t>Value of Fatal Crash</t>
  </si>
  <si>
    <t>DOT Memorandum on Treatment of Economic Value of a Statistical Life in Departmental Analyses - 2009</t>
  </si>
  <si>
    <t>Value of Injury Crash</t>
  </si>
  <si>
    <t>National Safety Council Data</t>
  </si>
  <si>
    <t>Value of Property Damage Only Crash</t>
  </si>
  <si>
    <t>Based on Annual VMT Savings for 2016 multiplied by Fatal Crash Rate for Build Condition and the Crash Rate Differential for Build and No-Build Conditions as shown below</t>
  </si>
  <si>
    <t>Based on Annual VMT Savings for 2016 multiplied by Injury Crash Rate for Build Condition and the Crash Rate Differential for Build and No-Build Conditions as shown below</t>
  </si>
  <si>
    <t>Based on Annual VMT Savings for 2016 multiplied by PDO Crash Rate for Build Condition and the Crash Rate Differential for Build and No-Build Conditions as shown below</t>
  </si>
  <si>
    <t>Based on Annual VMT Savings for 2035 multiplied by Fatal Crash Rate for Build Condition and the Crash Rate Differential for Build and No-Build Conditions as shown below</t>
  </si>
  <si>
    <t>Based on Annual VMT Savings for 2035 multiplied by Injury Crash Rate for Build Condition and the Crash Rate Differential for Build and No-Build Conditions as shown below</t>
  </si>
  <si>
    <t>Based on Annual VMT Savings for 2035 multiplied by PDO Crash Rate for Build Condition and the Crash Rate Differential for Build and No-Build Conditions as shown below</t>
  </si>
  <si>
    <t>Fatal Crash Rate Used for No-Build Condition</t>
  </si>
  <si>
    <t>Based on Average Crash Rate for current Study Area East-West Routes using Crash Data for 2004 to 2008 (Iowa DOT Office of Traffic and Safety Data).</t>
  </si>
  <si>
    <t>Fatal Crash Rate Used for Build Condition</t>
  </si>
  <si>
    <t>Based on Average Crash Rates for City Streets of this type in Iowa for 2004 to 2009 (Iowa DOT Office of Traffic and Safety Data)</t>
  </si>
  <si>
    <t>Injury Crash Rate Used for No-Build Condition</t>
  </si>
  <si>
    <t>Injury Crash Rate Used for Build Condition</t>
  </si>
  <si>
    <t>PDO Crash Rate Used for No-Build Condition</t>
  </si>
  <si>
    <t>PDO Crash Rate Used for Build Condition</t>
  </si>
  <si>
    <t>Accident Reduction Benefits</t>
  </si>
  <si>
    <t>With</t>
  </si>
  <si>
    <t>Without</t>
  </si>
  <si>
    <t>Distance Without</t>
  </si>
  <si>
    <t>Distance with Shop Rd Extension</t>
  </si>
  <si>
    <t>Pineview South</t>
  </si>
  <si>
    <t>Pineview North</t>
  </si>
  <si>
    <t>Garners Ferry West</t>
  </si>
  <si>
    <t>Garners Ferry Middle</t>
  </si>
  <si>
    <t>Garners Ferry Jct</t>
  </si>
  <si>
    <t>Garners Ferry East</t>
  </si>
  <si>
    <t>Shop Rd Existing</t>
  </si>
  <si>
    <t>Shop Rd New</t>
  </si>
  <si>
    <t>Old Hopkins Rd</t>
  </si>
  <si>
    <t xml:space="preserve">The Extension will provide </t>
  </si>
  <si>
    <t>fewer Avg Annual Daily Traffic counts</t>
  </si>
  <si>
    <t>Counts Annualized</t>
  </si>
  <si>
    <t>Pineview</t>
  </si>
  <si>
    <t>US 76</t>
  </si>
  <si>
    <t>B</t>
  </si>
  <si>
    <t>A</t>
  </si>
  <si>
    <t>E</t>
  </si>
  <si>
    <t>C</t>
  </si>
  <si>
    <t>D</t>
  </si>
  <si>
    <t>F</t>
  </si>
  <si>
    <t>LOS</t>
  </si>
  <si>
    <t>(south of Shop Rd)</t>
  </si>
  <si>
    <t>(Shop Rd. north to US 76/378)</t>
  </si>
  <si>
    <t>(S-88 east to Pineview Rd)</t>
  </si>
  <si>
    <t>(Pineview east to S-222)</t>
  </si>
  <si>
    <t>(S-222 east to Shop Rd. Ext. termini)</t>
  </si>
  <si>
    <t>(east of Shop Rd. Ext. termini)</t>
  </si>
  <si>
    <t>Shop Road Extension-new alignment</t>
  </si>
  <si>
    <t xml:space="preserve">Shop Road </t>
  </si>
  <si>
    <t>Trips Saved</t>
  </si>
  <si>
    <t>Based on 0.75 x 2025 Modeled Annual Estimated Volume of 15,658,500 - Southeast Connector Traffic Report Data</t>
  </si>
  <si>
    <t>Based on 1.25 x 2025 Modeled Annual Estimated Volume of 15,658,500 - Southeast Connector Traffic Report Data</t>
  </si>
  <si>
    <t>Miles Saved</t>
  </si>
  <si>
    <t>Distance in Miles</t>
  </si>
  <si>
    <t>4.58 mile distance on Melissas Map</t>
  </si>
  <si>
    <t>Distance driving 222 to Pineview to Shop Rd</t>
  </si>
  <si>
    <t xml:space="preserve">Source: </t>
  </si>
  <si>
    <t>American Transportation Research Institute (ATRI)  Analysis of the Operational Costs of Trucking 2011</t>
  </si>
  <si>
    <t>TIGER BENEFIT-COST ANALYSIS (BCA) RESOURCE GUIDE page 4 of 19</t>
  </si>
  <si>
    <t>More Driving on Exist Rd</t>
  </si>
  <si>
    <t>Less Drive</t>
  </si>
  <si>
    <t>System</t>
  </si>
  <si>
    <t>Avg Annual Mant $ Per LM</t>
  </si>
  <si>
    <t>Avg Annual Pavement $ Per LM</t>
  </si>
  <si>
    <t>Total Per LM</t>
  </si>
  <si>
    <t>Interstate</t>
  </si>
  <si>
    <t>Primary</t>
  </si>
  <si>
    <t>Secondary</t>
  </si>
  <si>
    <t>Federal-Aid</t>
  </si>
  <si>
    <t>Non-FA System</t>
  </si>
  <si>
    <t>This should reflect capital needs per roadway LM on an annual basis.  Maintenance numbers (first column) is derived from the LOS B spreadsheet and the Pavement column is from HERS and the Pavement Management system.  This is just maintaining the existing system with preservation projects….no expansion.  Again, the numbers are not exact, but looking more for an order of magnitude and maybe the ratios between system classes.</t>
  </si>
  <si>
    <t xml:space="preserve">Below is the maintenance cost estimates that were developed by SCDOT that can be applied for the Shop Road extension. I believe the Shop Road extension is classified as secondary non-FA system. </t>
  </si>
  <si>
    <t>Total Capital Costs</t>
  </si>
  <si>
    <t>Engineering</t>
  </si>
  <si>
    <t>Preliminary Engineering Design</t>
  </si>
  <si>
    <t>Right-of-way</t>
  </si>
  <si>
    <t>http://taxfoundation.org/article/summary-latest-federal-income-tax-data</t>
  </si>
  <si>
    <t>Based on IRS Data on Average Federal Percentage (13.8%) Paid plus SC State Tax Rate (7%) Data</t>
  </si>
  <si>
    <t>Avg Fatality Per Crossing</t>
  </si>
  <si>
    <t>Number of Crossings in SC</t>
  </si>
  <si>
    <t>4 Crossings in Study Area</t>
  </si>
  <si>
    <t>Number of Rail Auto Crashes -Fatalities</t>
  </si>
  <si>
    <t>Number of Rail Auto Crashes -Injuries</t>
  </si>
  <si>
    <t>Avg Injury Per Crossing</t>
  </si>
  <si>
    <t>Estimated Reduction in crossings</t>
  </si>
  <si>
    <t>Estimated Rail Fatality costs reductions</t>
  </si>
  <si>
    <t>Based on SC Wage Survey Data for Several Industrial/Commercial Wage Categories for Common Industries in Project Area.</t>
  </si>
  <si>
    <t>Estimated Rail Injury costs reductions</t>
  </si>
  <si>
    <t>20## Fatal Crashes Saved</t>
  </si>
  <si>
    <t>20## Injury Crashes Saved</t>
  </si>
  <si>
    <t>20## Property Damage Only Crashes Saved</t>
  </si>
  <si>
    <r>
      <t xml:space="preserve">Total Annual VMT </t>
    </r>
    <r>
      <rPr>
        <u/>
        <sz val="10"/>
        <color indexed="12"/>
        <rFont val="Arial"/>
        <family val="2"/>
      </rPr>
      <t>Miles</t>
    </r>
    <r>
      <rPr>
        <sz val="10"/>
        <color indexed="12"/>
        <rFont val="Arial"/>
        <family val="2"/>
      </rPr>
      <t xml:space="preserve"> on Shop Road Segment 20##</t>
    </r>
  </si>
  <si>
    <t>Rail Delay hours</t>
  </si>
  <si>
    <t>CSX</t>
  </si>
  <si>
    <t>NS</t>
  </si>
  <si>
    <t>No Build</t>
  </si>
  <si>
    <t>Pineville Rd</t>
  </si>
  <si>
    <t>Longwood Rd</t>
  </si>
  <si>
    <t>Arterial Roads</t>
  </si>
  <si>
    <t>Build</t>
  </si>
  <si>
    <t>Delays</t>
  </si>
  <si>
    <t xml:space="preserve">Average Delay </t>
  </si>
  <si>
    <t>Avg Vehicles Delayed</t>
  </si>
  <si>
    <t>Daily</t>
  </si>
  <si>
    <t>Annual Delay</t>
  </si>
  <si>
    <t>in Hours</t>
  </si>
  <si>
    <t>Daily Delays</t>
  </si>
  <si>
    <t>Annual</t>
  </si>
  <si>
    <t>Crossings</t>
  </si>
  <si>
    <t>Benefit</t>
  </si>
  <si>
    <t>Rail Crossing</t>
  </si>
  <si>
    <t>Old Hopkins</t>
  </si>
  <si>
    <t>Hours</t>
  </si>
  <si>
    <t>Automobile</t>
  </si>
  <si>
    <t>Total Hours</t>
  </si>
  <si>
    <t xml:space="preserve">Construction  - $68,962,000  (phase 1 construction $7,316,000 + Phase 2 $61,646,000)  FYI </t>
  </si>
  <si>
    <t xml:space="preserve">                Planning and NEPA - </t>
  </si>
  <si>
    <t xml:space="preserve">                Engineering Design </t>
  </si>
  <si>
    <t xml:space="preserve">                Right-of-Way - </t>
  </si>
  <si>
    <t xml:space="preserve">                Construction Engineering &amp; Inspection  - </t>
  </si>
  <si>
    <t>from 2004 APPR report</t>
  </si>
  <si>
    <t>Below</t>
  </si>
  <si>
    <t>Hours Saved</t>
  </si>
  <si>
    <t>Phase 1 Construction</t>
  </si>
  <si>
    <t>Phase 1</t>
  </si>
  <si>
    <t>Phase 2 Const</t>
  </si>
  <si>
    <t>Known industry development</t>
  </si>
  <si>
    <t>Rail Delay hours saved</t>
  </si>
  <si>
    <t>3.3 minutes</t>
  </si>
  <si>
    <t xml:space="preserve">seconds or </t>
  </si>
  <si>
    <t>Based on 2014 SC Wage Survey BLS Data for Construction/Maintenance, Suppliers and  Civil Engineering</t>
  </si>
  <si>
    <t>Typical Millage Rate for Parcels in that part of the county</t>
  </si>
  <si>
    <t>Shop Road Extension Phase 1 &amp; 2</t>
  </si>
  <si>
    <t>Benefit-Cost Output in Real 2014 Dollars</t>
  </si>
  <si>
    <t>VMT Savings 2020</t>
  </si>
  <si>
    <t>VMT Savings 2040</t>
  </si>
  <si>
    <t>Other</t>
  </si>
  <si>
    <t>Total Based on known development and redev land use analysis</t>
  </si>
  <si>
    <t>Trains</t>
  </si>
  <si>
    <t>Minutes</t>
  </si>
  <si>
    <t>Minutes Delayed</t>
  </si>
  <si>
    <t>Per Day</t>
  </si>
  <si>
    <t>Delayed</t>
  </si>
  <si>
    <t>NB</t>
  </si>
  <si>
    <t>Current</t>
  </si>
  <si>
    <t>Corridor Analysis - No Build (LRP)</t>
  </si>
  <si>
    <t>Corridor</t>
  </si>
  <si>
    <t>Description</t>
  </si>
  <si>
    <t>Avg. Daily Volume</t>
  </si>
  <si>
    <t>VMT</t>
  </si>
  <si>
    <t>VHT</t>
  </si>
  <si>
    <t>Avg. Speed (mph)</t>
  </si>
  <si>
    <t>Avg. VC Ratio</t>
  </si>
  <si>
    <t>Corridor 3</t>
  </si>
  <si>
    <t>I-77 (SC48 - Fort Jackson)</t>
  </si>
  <si>
    <t>Corridor 10</t>
  </si>
  <si>
    <t>Garners Ferry (Devine/US76 - I-77)</t>
  </si>
  <si>
    <t>Corridor 11</t>
  </si>
  <si>
    <t>Garners Ferry (I-77 - Shop Rd Ext)</t>
  </si>
  <si>
    <t>Corridor 12</t>
  </si>
  <si>
    <t>Garners Ferry (Shop Rd Ext - SC769)</t>
  </si>
  <si>
    <t>Corridor 20</t>
  </si>
  <si>
    <t>Shop Rd (Assembly St - I-77)</t>
  </si>
  <si>
    <t>Corridor 21</t>
  </si>
  <si>
    <t>Shop Rd (I-77 - Shop Rd Ext)</t>
  </si>
  <si>
    <t>Corridor 22</t>
  </si>
  <si>
    <t>Shop Rd Ext (Shop Rd - Garners Ferry)</t>
  </si>
  <si>
    <t>Corridor 30</t>
  </si>
  <si>
    <t>Air Base Rd (Shop Rd Ext - SC769)</t>
  </si>
  <si>
    <t>Corridor 40</t>
  </si>
  <si>
    <t>SC 48 (George Rogers Blvd - I-77)</t>
  </si>
  <si>
    <t>Corridor 41</t>
  </si>
  <si>
    <t>SC 48 (I-77 - Lower Richland Rd)</t>
  </si>
  <si>
    <t>Corridor Analysis - Build (LRP + Shop Rd Ext)</t>
  </si>
  <si>
    <t>Difference (Build-No Build)</t>
  </si>
  <si>
    <t>Statistic Sum</t>
  </si>
  <si>
    <t>ID</t>
  </si>
  <si>
    <t>Length</t>
  </si>
  <si>
    <t>Dir</t>
  </si>
  <si>
    <t>AB_Lanes</t>
  </si>
  <si>
    <t>BA_Lanes</t>
  </si>
  <si>
    <t>Posted_Speed</t>
  </si>
  <si>
    <t>Cap_per_Ln</t>
  </si>
  <si>
    <t>FCID</t>
  </si>
  <si>
    <t>FTID</t>
  </si>
  <si>
    <t>Lanes_Total</t>
  </si>
  <si>
    <t>AB_Capacity</t>
  </si>
  <si>
    <t>BA_Capacity</t>
  </si>
  <si>
    <t>FF_Time</t>
  </si>
  <si>
    <t>Alpha</t>
  </si>
  <si>
    <t>HOV</t>
  </si>
  <si>
    <t>Screen_ID</t>
  </si>
  <si>
    <t>Counts</t>
  </si>
  <si>
    <t>SRE_DlyVol</t>
  </si>
  <si>
    <t>SRE_VMT</t>
  </si>
  <si>
    <t>SRE_VHT</t>
  </si>
  <si>
    <t>SRE_CongTT</t>
  </si>
  <si>
    <t>LRP_DlyVol</t>
  </si>
  <si>
    <t>LRP_VMT</t>
  </si>
  <si>
    <t>LRP_VHT</t>
  </si>
  <si>
    <t>LRP_CongTT</t>
  </si>
  <si>
    <t>LRP_VCRatio</t>
  </si>
  <si>
    <t>Study_Area1</t>
  </si>
  <si>
    <t>Study_Area2</t>
  </si>
  <si>
    <t>Study_Area3</t>
  </si>
  <si>
    <t>SRE2_DlyVol</t>
  </si>
  <si>
    <t>SRE2_VMT</t>
  </si>
  <si>
    <t>SRE2_VHT</t>
  </si>
  <si>
    <t>SRE2_CongTT</t>
  </si>
  <si>
    <t>SRE2_VCRatio</t>
  </si>
  <si>
    <t>DLY_CAPACITY_10hr</t>
  </si>
  <si>
    <t>Weighted Averages (Length)</t>
  </si>
  <si>
    <t>Count</t>
  </si>
  <si>
    <t>[Avg LRP_DlyVol]</t>
  </si>
  <si>
    <t>[Avg LRP_VCRatio]</t>
  </si>
  <si>
    <t>[Avg SRE2_DlyVol]</t>
  </si>
  <si>
    <t>[Avg SRE2_VCRatio]</t>
  </si>
  <si>
    <t>[Avg DLY_CAPACITY_10hr]</t>
  </si>
  <si>
    <t>other</t>
  </si>
  <si>
    <t>Study Area Analysis</t>
  </si>
  <si>
    <t>Statistic</t>
  </si>
  <si>
    <t>No Build (LRP)</t>
  </si>
  <si>
    <t>Build (LRP + Shop Rd Ext)</t>
  </si>
  <si>
    <t>Difference (Build - No Build)</t>
  </si>
  <si>
    <t>Study Area 1</t>
  </si>
  <si>
    <t>Study Area 2</t>
  </si>
  <si>
    <t>Study Area 3</t>
  </si>
  <si>
    <t>Length (miles)</t>
  </si>
  <si>
    <t>LRP_DlyVol_Sum</t>
  </si>
  <si>
    <t>LRP_DlyVol_Avg</t>
  </si>
  <si>
    <t>LRP_VCRatio_Sum</t>
  </si>
  <si>
    <t>LRP_VCRatio_Avg</t>
  </si>
  <si>
    <t>SRE2_DlyVol_Sum</t>
  </si>
  <si>
    <t>SRE2_DlyVol_Avg</t>
  </si>
  <si>
    <t>SRE2_VCRatio_Sum</t>
  </si>
  <si>
    <t>SRE2_VCRatio_Avg</t>
  </si>
  <si>
    <t>DLY_CAPACITY_10hr_Sum</t>
  </si>
  <si>
    <t>DLY_CAPACITY_10hr_Avg</t>
  </si>
  <si>
    <t>Project - Shop Road Extension TIGER Grant</t>
  </si>
  <si>
    <t>Analysis Date - 04142014</t>
  </si>
  <si>
    <t>TDM - COATS Travel Demand Model</t>
  </si>
  <si>
    <t>Version - TransCAD4.8</t>
  </si>
  <si>
    <t>Year - 2035</t>
  </si>
  <si>
    <t>No Build Scenario - LRP Network</t>
  </si>
  <si>
    <t>Build Scenario - LRP Network + Shop Road Extension</t>
  </si>
  <si>
    <t>SRE Scenario based on SCDOT run of SRE</t>
  </si>
  <si>
    <t>Used SCDOT run OD trip tables and re-ran assignment for year 2035</t>
  </si>
  <si>
    <t>Used revised alignment of SRE (4.55 miles) along Montgomery Rd between Pineview and Garners Ferry</t>
  </si>
  <si>
    <t>Assume 4-lane divided minor arterial at 45 mph</t>
  </si>
  <si>
    <t>Analysis</t>
  </si>
  <si>
    <t>Corridor level VMT, VHT, Avg. Speed, and Avg. Volume (weighted by distance)</t>
  </si>
  <si>
    <t>Study Area level VMT, VHT, Avg. Speed, and Avg. Volume (weighted by distance)</t>
  </si>
  <si>
    <t>non-centroid connector, non-transit Only links</t>
  </si>
  <si>
    <t>Daily Volume Maps</t>
  </si>
  <si>
    <t>Link Attributes</t>
  </si>
  <si>
    <t>VMT - Volume * Length</t>
  </si>
  <si>
    <t>VHT - Modeled VHT</t>
  </si>
  <si>
    <t>CongTT - Output VHT/Volume*60</t>
  </si>
  <si>
    <t>Daily Capacity - AB/BA_Capacity * 10</t>
  </si>
  <si>
    <t>VC Ratio - Volume / Daily Capacity</t>
  </si>
  <si>
    <t>Increased Traffic</t>
  </si>
  <si>
    <t>Decreased Traffic</t>
  </si>
  <si>
    <t xml:space="preserve">Mintes in a day = </t>
  </si>
  <si>
    <t xml:space="preserve">Minutes In </t>
  </si>
  <si>
    <t>a Day</t>
  </si>
  <si>
    <t>Percent</t>
  </si>
  <si>
    <t>of Traffic</t>
  </si>
  <si>
    <t>VOC Savings 2040</t>
  </si>
  <si>
    <t>VOC Savings 2020</t>
  </si>
  <si>
    <t>Average Value per Job (2014)</t>
  </si>
  <si>
    <t>Year 2020</t>
  </si>
  <si>
    <r>
      <t>Year 20</t>
    </r>
    <r>
      <rPr>
        <b/>
        <sz val="10"/>
        <color indexed="10"/>
        <rFont val="Arial"/>
        <family val="2"/>
      </rPr>
      <t>40</t>
    </r>
  </si>
  <si>
    <t>Vehicle</t>
  </si>
  <si>
    <t>Average</t>
  </si>
  <si>
    <t>Rail</t>
  </si>
  <si>
    <t>Crossing</t>
  </si>
  <si>
    <t>http://www.epa.gov/climatechange/EPAactivities/economics/scc.html</t>
  </si>
  <si>
    <t>CO2</t>
  </si>
  <si>
    <t>COMB</t>
  </si>
  <si>
    <t>Standard Car</t>
  </si>
  <si>
    <t>Full Size</t>
  </si>
  <si>
    <t>Assumes 50% of each type</t>
  </si>
  <si>
    <t>Grams/Mile</t>
  </si>
  <si>
    <t>Millions of miles change</t>
  </si>
  <si>
    <t>Metric Tons</t>
  </si>
  <si>
    <t xml:space="preserve">Final Rulemaking to Establish Light-Duty </t>
  </si>
  <si>
    <t xml:space="preserve">Vehicle Greenhouse Gas Emission </t>
  </si>
  <si>
    <t xml:space="preserve">Standards and Corporate Average Fuel </t>
  </si>
  <si>
    <t xml:space="preserve">Economy Standards </t>
  </si>
  <si>
    <t>Source:</t>
  </si>
  <si>
    <t xml:space="preserve">Assessment and Standards Division </t>
  </si>
  <si>
    <t xml:space="preserve">Office of Transportation and Air Quality </t>
  </si>
  <si>
    <t>U.S. Environmental Protection Agency</t>
  </si>
  <si>
    <t>egulatory Impact Analys</t>
  </si>
  <si>
    <t xml:space="preserve"> </t>
  </si>
  <si>
    <t>Rail Delay Metric Tons</t>
  </si>
  <si>
    <t>gallons per hour</t>
  </si>
  <si>
    <t>CO2/Hour</t>
  </si>
  <si>
    <t>grams</t>
  </si>
  <si>
    <t>Idling Vehicle =</t>
  </si>
  <si>
    <t>Grams/hour</t>
  </si>
  <si>
    <t>Grams/minutes</t>
  </si>
  <si>
    <t>http://www.edf.org/sites/default/files/9236_Idling_Nowhere_2009.pdf</t>
  </si>
  <si>
    <t>Page 24</t>
  </si>
  <si>
    <t>Rail Delay minutes saved</t>
  </si>
  <si>
    <t>Assumption/Parameter</t>
  </si>
  <si>
    <t>Value</t>
  </si>
  <si>
    <t>Source/Notes</t>
  </si>
  <si>
    <t>Criteria</t>
  </si>
  <si>
    <t>Per hour for cars</t>
  </si>
  <si>
    <t>Per hour for trucks</t>
  </si>
  <si>
    <t>Value of Time</t>
  </si>
  <si>
    <t>Vehicle Operating Costs</t>
  </si>
  <si>
    <t>Per mile</t>
  </si>
  <si>
    <t>Value of Crash Reductions</t>
  </si>
  <si>
    <t>Fatal</t>
  </si>
  <si>
    <t>Injury</t>
  </si>
  <si>
    <t>Property</t>
  </si>
  <si>
    <t>Value of Carbon Emissions Reduction</t>
  </si>
  <si>
    <t>Per metric ton</t>
  </si>
  <si>
    <t>Value of Jobs</t>
  </si>
  <si>
    <t>Tax Rate Applied</t>
  </si>
  <si>
    <t>Discount Rates</t>
  </si>
  <si>
    <t>3%/7%</t>
  </si>
  <si>
    <t>TIGER BENEFIT-COST ANALYSIS (BCA) RESOURCE GUIDE</t>
  </si>
  <si>
    <t>Inflation</t>
  </si>
  <si>
    <t>Not Applied</t>
  </si>
  <si>
    <t>All values in 2014 dollars</t>
  </si>
  <si>
    <t>Based on 0.75 x 2030 Modeled Savings of 3913 Miles per year</t>
  </si>
  <si>
    <t>Based on 1.25 x 2030 Modeled Savings of 3913 Miles per year</t>
  </si>
  <si>
    <t>Garners Ferry</t>
  </si>
  <si>
    <t>4 years of data</t>
  </si>
  <si>
    <t>Fatalities</t>
  </si>
  <si>
    <t>PDO</t>
  </si>
  <si>
    <t>AADT</t>
  </si>
  <si>
    <t>annual cars</t>
  </si>
  <si>
    <t>Miles driven</t>
  </si>
  <si>
    <t>GFR</t>
  </si>
  <si>
    <t>Pineville</t>
  </si>
  <si>
    <t>Miles Driven Annually</t>
  </si>
  <si>
    <t>Accidents/Million</t>
  </si>
  <si>
    <t>From SC DOT</t>
  </si>
  <si>
    <t>Drive Distance</t>
  </si>
  <si>
    <t>Difference</t>
  </si>
  <si>
    <t>Less Traffic</t>
  </si>
  <si>
    <t>miles/accidents</t>
  </si>
  <si>
    <t>Annual Driving</t>
  </si>
  <si>
    <t>Reduced</t>
  </si>
  <si>
    <t>50% reduction</t>
  </si>
  <si>
    <t>Total Value of Crashes Saved 2020 - Injury</t>
  </si>
  <si>
    <t xml:space="preserve">       Traffic Reduction off GFR =</t>
  </si>
  <si>
    <t xml:space="preserve">      Traffic Reduction off Pineville Rd =</t>
  </si>
  <si>
    <t>Square Feet</t>
  </si>
  <si>
    <t>Value per Acre</t>
  </si>
  <si>
    <t>Acres</t>
  </si>
  <si>
    <t>Shop Road Extension</t>
  </si>
  <si>
    <t>Section</t>
  </si>
  <si>
    <t>Phase 1 and 2 (from Pineview Drive to US 378)</t>
  </si>
  <si>
    <t>4.53 miles</t>
  </si>
  <si>
    <t>Cumilative Total</t>
  </si>
  <si>
    <t>Type Improvement</t>
  </si>
  <si>
    <t>4-lane divided highway</t>
  </si>
  <si>
    <t>TIGER Grant</t>
  </si>
  <si>
    <t>Character</t>
  </si>
  <si>
    <t>Industrial Park</t>
  </si>
  <si>
    <t>Planning and NPA</t>
  </si>
  <si>
    <t>Preliminary Design (Through R/W)</t>
  </si>
  <si>
    <t>Right of Way</t>
  </si>
  <si>
    <t>Final Design</t>
  </si>
  <si>
    <t>Construction Engineering &amp; Inspection</t>
  </si>
  <si>
    <t>Construction</t>
  </si>
  <si>
    <t>Total Preliminary Construction Cost Estimate Phase 1</t>
  </si>
  <si>
    <t>Total Shop Road Extension (Phase2)</t>
  </si>
  <si>
    <t>Planning and NEPA</t>
  </si>
  <si>
    <t>Preliminary Design (Through R/W</t>
  </si>
  <si>
    <r>
      <rPr>
        <u/>
        <sz val="11"/>
        <color indexed="8"/>
        <rFont val="Calibri"/>
        <family val="2"/>
      </rPr>
      <t xml:space="preserve">Construction </t>
    </r>
    <r>
      <rPr>
        <sz val="10"/>
        <rFont val="Arial"/>
        <family val="2"/>
      </rPr>
      <t xml:space="preserve"> </t>
    </r>
  </si>
  <si>
    <t>Total Premininary Construction Cost Estimate Phase 2</t>
  </si>
  <si>
    <t>Total Shop Road Extension (Phase 1 &amp; 2)</t>
  </si>
  <si>
    <t xml:space="preserve">Construction  </t>
  </si>
  <si>
    <t>Total Preliminary Construction Cost Estimate Phase 1 &amp; 2</t>
  </si>
  <si>
    <t xml:space="preserve">Total Estimated Implementation Cost for Phases 1 &amp; 2 </t>
  </si>
  <si>
    <t>Total Shop Road Extension (Phase 1)</t>
  </si>
  <si>
    <t>Discounted to 2015</t>
  </si>
  <si>
    <t>4 Year Total</t>
  </si>
  <si>
    <t>Average/Year</t>
  </si>
  <si>
    <t>Segment 1</t>
  </si>
  <si>
    <t>Segment 2</t>
  </si>
  <si>
    <t>Segment 3</t>
  </si>
  <si>
    <t>Segment 4</t>
  </si>
  <si>
    <t>Segment 5</t>
  </si>
  <si>
    <t>Segment 6</t>
  </si>
  <si>
    <t xml:space="preserve">Garners Ferry Rd </t>
  </si>
  <si>
    <t>Based on IMPLAN 2012 of 1 Employment Year per $166,565 spent (from 2012 IMPLAN) 6.00 direct jobs/$million</t>
  </si>
  <si>
    <t>I’ll write up my methodology to include in the appendix/web server for the TIGER Grant.  Richland Co. has seen a reduction in assessed valuation from 2008 – 2013 as a result of the recession.  The numbers I used are based on the Assessors millage rates and the various assessment ratios for property types (residential, commercial, industrial). </t>
  </si>
  <si>
    <r>
      <t>1)</t>
    </r>
    <r>
      <rPr>
        <sz val="7"/>
        <rFont val="Times New Roman"/>
        <family val="1"/>
      </rPr>
      <t xml:space="preserve">      </t>
    </r>
    <r>
      <rPr>
        <sz val="11"/>
        <rFont val="Calibri"/>
        <family val="2"/>
      </rPr>
      <t> I’ve assumed 2000 gross acres for future development and made an assumption that 25% of the property is unusable due to restricted slopes, wetlands, existing rights-of-way or other restrictions leaving 1500 acres net for future development</t>
    </r>
  </si>
  <si>
    <r>
      <t>2)</t>
    </r>
    <r>
      <rPr>
        <sz val="7"/>
        <rFont val="Times New Roman"/>
        <family val="1"/>
      </rPr>
      <t xml:space="preserve">      </t>
    </r>
    <r>
      <rPr>
        <sz val="11"/>
        <rFont val="Calibri"/>
        <family val="2"/>
      </rPr>
      <t>Of that net acreage, I allocated 600 acres for industrial uses, 85 acres for commercial uses, and 815 acres for residential development</t>
    </r>
  </si>
  <si>
    <r>
      <t>3)</t>
    </r>
    <r>
      <rPr>
        <sz val="7"/>
        <rFont val="Times New Roman"/>
        <family val="1"/>
      </rPr>
      <t xml:space="preserve">      </t>
    </r>
    <r>
      <rPr>
        <sz val="11"/>
        <rFont val="Calibri"/>
        <family val="2"/>
      </rPr>
      <t>For residential development I assumed 5 units per acre (moderate density) resulting in 2,855 residential lots, with an average sales price per unit of $155,000 (based on a review of local residential sales over the last 2 years, frankly many of these sales were existing units but given median household incomes for this area I decided this was a conservative and reasonable market price</t>
    </r>
  </si>
  <si>
    <t>Overall increase in property taxes resulting from development after the construction of Shop Road Extension is as follows:</t>
  </si>
  <si>
    <t>Residential</t>
  </si>
  <si>
    <t>-</t>
  </si>
  <si>
    <t>Industrial   </t>
  </si>
  <si>
    <t>Commercial</t>
  </si>
  <si>
    <t>Total            </t>
  </si>
  <si>
    <r>
      <t>4)</t>
    </r>
    <r>
      <rPr>
        <sz val="7"/>
        <rFont val="Times New Roman"/>
        <family val="1"/>
      </rPr>
      <t xml:space="preserve">      </t>
    </r>
    <r>
      <rPr>
        <sz val="11"/>
        <rFont val="Calibri"/>
        <family val="2"/>
      </rPr>
      <t xml:space="preserve">I assumed residential construction would not begin until </t>
    </r>
    <r>
      <rPr>
        <b/>
        <sz val="11"/>
        <rFont val="Calibri"/>
        <family val="2"/>
      </rPr>
      <t xml:space="preserve">2020 </t>
    </r>
    <r>
      <rPr>
        <sz val="11"/>
        <rFont val="Calibri"/>
        <family val="2"/>
      </rPr>
      <t>with the first homes sold in 2021, I made assumptions for the number of units from 2021 – 2035 using a bell curve, typical for subdivision sales. </t>
    </r>
  </si>
  <si>
    <t/>
  </si>
  <si>
    <r>
      <t>1)</t>
    </r>
    <r>
      <rPr>
        <sz val="7"/>
        <rFont val="Times New Roman"/>
        <family val="1"/>
      </rPr>
      <t xml:space="preserve">      </t>
    </r>
    <r>
      <rPr>
        <sz val="11"/>
        <rFont val="Calibri"/>
        <family val="2"/>
      </rPr>
      <t>Warehouse and distribution – 10 /acre (this is pretty bare bones warehousing not a fulfillment center or sub-assembly operation, just goods in, goods out cross-dock type operation</t>
    </r>
  </si>
  <si>
    <r>
      <t>2)</t>
    </r>
    <r>
      <rPr>
        <sz val="7"/>
        <rFont val="Times New Roman"/>
        <family val="1"/>
      </rPr>
      <t xml:space="preserve">      </t>
    </r>
    <r>
      <rPr>
        <sz val="11"/>
        <rFont val="Calibri"/>
        <family val="2"/>
      </rPr>
      <t>Manufacturing and industrial – 25 - 35 employees per acre</t>
    </r>
  </si>
  <si>
    <r>
      <t>3)</t>
    </r>
    <r>
      <rPr>
        <sz val="7"/>
        <rFont val="Times New Roman"/>
        <family val="1"/>
      </rPr>
      <t xml:space="preserve">      </t>
    </r>
    <r>
      <rPr>
        <sz val="11"/>
        <rFont val="Calibri"/>
        <family val="2"/>
      </rPr>
      <t>High tech – 30 employees per acre</t>
    </r>
  </si>
  <si>
    <r>
      <t>4)</t>
    </r>
    <r>
      <rPr>
        <sz val="7"/>
        <rFont val="Times New Roman"/>
        <family val="1"/>
      </rPr>
      <t xml:space="preserve">      </t>
    </r>
    <r>
      <rPr>
        <sz val="11"/>
        <rFont val="Calibri"/>
        <family val="2"/>
      </rPr>
      <t>Retail, commercial – 35 employees per acre</t>
    </r>
  </si>
  <si>
    <r>
      <t>5)</t>
    </r>
    <r>
      <rPr>
        <sz val="7"/>
        <rFont val="Times New Roman"/>
        <family val="1"/>
      </rPr>
      <t xml:space="preserve">      </t>
    </r>
    <r>
      <rPr>
        <sz val="11"/>
        <rFont val="Calibri"/>
        <family val="2"/>
      </rPr>
      <t>Health, education, government – 50 employees per acre</t>
    </r>
  </si>
  <si>
    <t>Jobs/Acre</t>
  </si>
  <si>
    <t>Total Acres</t>
  </si>
  <si>
    <t>Usable</t>
  </si>
  <si>
    <t>Based on 2,000 gross acres, my net acreage calculations are as follows:</t>
  </si>
  <si>
    <t>Industrial – 223 ac</t>
  </si>
  <si>
    <t>Commercial – 25.5 ac</t>
  </si>
  <si>
    <t>FYI, I also reduced the total estimated employment at build-out on the new industrial park site to 3,000 including Project Panther based on information I received today about wetlands mitigation on site.</t>
  </si>
  <si>
    <t xml:space="preserve">Benefits: </t>
  </si>
  <si>
    <t xml:space="preserve">Travel Time Savings </t>
  </si>
  <si>
    <t xml:space="preserve">Vehicle Operating Cost Savings </t>
  </si>
  <si>
    <t xml:space="preserve">Crash Reduction Savings </t>
  </si>
  <si>
    <t xml:space="preserve">Additional Income Tax Revenues </t>
  </si>
  <si>
    <t xml:space="preserve">Property Tax Increases </t>
  </si>
  <si>
    <t xml:space="preserve">Carbon Reduction </t>
  </si>
  <si>
    <t xml:space="preserve">Residual Value of Improvements after 2045 </t>
  </si>
  <si>
    <t xml:space="preserve">Total Benefits </t>
  </si>
  <si>
    <t xml:space="preserve">Costs: </t>
  </si>
  <si>
    <t xml:space="preserve">Maintenance </t>
  </si>
  <si>
    <t xml:space="preserve">Total Costs </t>
  </si>
  <si>
    <t xml:space="preserve">Net Benefit </t>
  </si>
  <si>
    <t xml:space="preserve">3% Discount Rate  </t>
  </si>
  <si>
    <t xml:space="preserve">7% Discount Rate  </t>
  </si>
  <si>
    <t>Job Years</t>
  </si>
  <si>
    <t>Development related jobs</t>
  </si>
  <si>
    <t>Benefit-Cost Ratio</t>
  </si>
  <si>
    <t>Nominal Value</t>
  </si>
  <si>
    <t>N/A</t>
  </si>
  <si>
    <t>Item</t>
  </si>
  <si>
    <t>Capital Construction, Engineering, Right-</t>
  </si>
  <si>
    <t xml:space="preserve">of-Way and Environmental Mitigation Costs </t>
  </si>
  <si>
    <t>Total 2016 to 2040</t>
  </si>
  <si>
    <t xml:space="preserve">Total 2016 to 2040  </t>
  </si>
  <si>
    <t xml:space="preserve">Discounted Value – </t>
  </si>
  <si>
    <t xml:space="preserve">(2014 dollars) </t>
  </si>
  <si>
    <t>Based on Average Maintenance Costs per liner mile in SC for similar four lane road</t>
  </si>
  <si>
    <t>Based on Advanced Project Planning Report of Shop Road Extension for CMCGPC</t>
  </si>
  <si>
    <r>
      <rPr>
        <b/>
        <sz val="10"/>
        <color indexed="12"/>
        <rFont val="Arial"/>
        <family val="2"/>
      </rPr>
      <t>Time Savings 20</t>
    </r>
    <r>
      <rPr>
        <b/>
        <sz val="10"/>
        <color indexed="10"/>
        <rFont val="Arial"/>
        <family val="2"/>
      </rPr>
      <t>20</t>
    </r>
  </si>
  <si>
    <t>Based on Traffic improvements in area network, CMCOG Transportation Demand Model</t>
  </si>
  <si>
    <t>Total Value of Crashes Saved 2020 - PDO</t>
  </si>
  <si>
    <t>Estimated Reduction in accidents on Garners Ferry and Pineview Roads (50%) assumes less major intersections results in less rear end crashes.  50% of crashes are rear end crashes</t>
  </si>
  <si>
    <t>Annual crash reductions - Injury</t>
  </si>
  <si>
    <t>Annual crash reductions - PDO</t>
  </si>
  <si>
    <t>Phased in at 5% per year starting 2020.</t>
  </si>
  <si>
    <t>Total Tax Benefits</t>
  </si>
  <si>
    <r>
      <t xml:space="preserve">Increased property taxes for these new residential units were </t>
    </r>
    <r>
      <rPr>
        <b/>
        <sz val="11"/>
        <rFont val="Calibri"/>
        <family val="2"/>
      </rPr>
      <t xml:space="preserve">$99,587 in Yr 1 (2021), $732,964 in Yr 5 (2025) </t>
    </r>
    <r>
      <rPr>
        <sz val="11"/>
        <rFont val="Calibri"/>
        <family val="2"/>
      </rPr>
      <t xml:space="preserve">and $1,800,542 </t>
    </r>
    <r>
      <rPr>
        <b/>
        <sz val="11"/>
        <rFont val="Calibri"/>
        <family val="2"/>
      </rPr>
      <t>at build out in 2035</t>
    </r>
    <r>
      <rPr>
        <sz val="11"/>
        <rFont val="Calibri"/>
        <family val="2"/>
      </rPr>
      <t xml:space="preserve"> (fyi this assumes that is a 10% vacancy rate in the development i.e. some lots remain vacant)</t>
    </r>
  </si>
  <si>
    <t>For industrial development 450 acres net developable acreage was allocated. Using a 4:1 ground coverage ratio this property would support 112 acres under roof.  Assuming a $50/ s.f including land cost the increase property taxes from industrial development will be $5,789,089.  It was assumed development of this property in 2020 with build out over a 20-year period</t>
  </si>
  <si>
    <t>For commercial development 85 acres of net developable acreage was allocated, 30% floor area ratio, $50.00/s.f. for construction and land increasing property taxes from commercial development at build out by $1,318,052</t>
  </si>
  <si>
    <t>(These inputs were used in the BCA 7% and BCA 3% Worksheet Tabs)</t>
  </si>
  <si>
    <t>US 69/75 Arterial Highway</t>
  </si>
  <si>
    <t>Based on OKDOT Information</t>
  </si>
  <si>
    <t>Build/Capital Costs 2016 values</t>
  </si>
  <si>
    <t>OKLAHOMA DEPARTMENT OF TRANSPORTATION  —  CONTROL SECTION LOG   —   BRYAN COUNTY</t>
  </si>
  <si>
    <t>CONTROL</t>
  </si>
  <si>
    <t>ROUTE</t>
  </si>
  <si>
    <t>LENGTH</t>
  </si>
  <si>
    <t>STARTING DESRIPTION</t>
  </si>
  <si>
    <t>DIRECTION</t>
  </si>
  <si>
    <t>ENDING DESCRIPTION</t>
  </si>
  <si>
    <t>NOTES</t>
  </si>
  <si>
    <t>0702</t>
  </si>
  <si>
    <t>US 69</t>
  </si>
  <si>
    <t>TEXAS STATE LINE (S. END BR.)</t>
  </si>
  <si>
    <t>NORTHEASTERLY</t>
  </si>
  <si>
    <t>JCT. US 69B NORTH OF CALERA</t>
  </si>
  <si>
    <t>0703</t>
  </si>
  <si>
    <t>JCT. US 69 NORTH OF CALERA</t>
  </si>
  <si>
    <t>ATOKA COUNTY LINE</t>
  </si>
  <si>
    <t>0706</t>
  </si>
  <si>
    <t>US 70</t>
  </si>
  <si>
    <t>MARSHALL COUNTY LINE (W. END BR.)</t>
  </si>
  <si>
    <t>EASTERLY</t>
  </si>
  <si>
    <t>JCT. SH 78(1ST AVE &amp; MULBERRY ST)IN DURANT</t>
  </si>
  <si>
    <t>0710</t>
  </si>
  <si>
    <t>JCT. SH 78 (1ST AVE &amp; MULBERRY ST) IN DURANT</t>
  </si>
  <si>
    <t>CHOCTAW COUNTY LINE</t>
  </si>
  <si>
    <t>0712</t>
  </si>
  <si>
    <t>SH 48</t>
  </si>
  <si>
    <t>JCT. SH 78 NORTH OF DURANT</t>
  </si>
  <si>
    <t>NORTHERLY</t>
  </si>
  <si>
    <t>0714</t>
  </si>
  <si>
    <t>SH 70E</t>
  </si>
  <si>
    <t>JCT. SH 78 SOUTH OF DURANT</t>
  </si>
  <si>
    <t>EAST &amp; NORTHERLY</t>
  </si>
  <si>
    <t>JCT. US 70 NORTH OF BENNINGTON</t>
  </si>
  <si>
    <t>0716</t>
  </si>
  <si>
    <t>SH 91</t>
  </si>
  <si>
    <t>TEXAS STATE LINE (TEXAS SH 91)</t>
  </si>
  <si>
    <t>NORTH &amp; EASTERLY</t>
  </si>
  <si>
    <t>JCT. SH 78(FIRST ST &amp; MAIN ST)IN ACHILLE</t>
  </si>
  <si>
    <t>0718</t>
  </si>
  <si>
    <t>SH 199</t>
  </si>
  <si>
    <t>MARSHALL COUNTY LINE</t>
  </si>
  <si>
    <t>JCT. SH 78 NORTHWEST OF BROWN</t>
  </si>
  <si>
    <t>0720</t>
  </si>
  <si>
    <t>SH 78</t>
  </si>
  <si>
    <t>NORTHWESTERLY</t>
  </si>
  <si>
    <t>JCT. US 70 (1ST AVE &amp; MAIN ST) IN DURANT</t>
  </si>
  <si>
    <t>0724</t>
  </si>
  <si>
    <t>JCT. US 70 E.(MULBERRY ST &amp; 1ST AVE)IN DURANT</t>
  </si>
  <si>
    <t>JOHNSTON COUNTY LINE</t>
  </si>
  <si>
    <t>0725</t>
  </si>
  <si>
    <t>SH 22</t>
  </si>
  <si>
    <t>JCT. US 69 WEST OF CADDO</t>
  </si>
  <si>
    <t>0726</t>
  </si>
  <si>
    <t>EAST AND SOUTHERLY</t>
  </si>
  <si>
    <t>JCT. US 70(MAIN ST &amp; WALKER ST) IN BOKCHITO</t>
  </si>
  <si>
    <t>0728</t>
  </si>
  <si>
    <t>US 70T</t>
  </si>
  <si>
    <t>JCT. US 70 WEST OF DURANT</t>
  </si>
  <si>
    <t>JCT. US 69B(9TH AVE &amp; ARKANSAS ST)IN DURANT</t>
  </si>
  <si>
    <t>0732</t>
  </si>
  <si>
    <t>US 69B</t>
  </si>
  <si>
    <t>JCT. US 70(MAIN ST &amp; 9TH AVE) IN DURANT</t>
  </si>
  <si>
    <t>TOTAL COUNTY MILEAGE</t>
  </si>
  <si>
    <t>OKLAHOMA DEPARTMENT OF TRANSPORTATION  —  CONTROL SECTION LOG   —   OKLAHOMA COUNTY</t>
  </si>
  <si>
    <t>5504</t>
  </si>
  <si>
    <t>US 62</t>
  </si>
  <si>
    <t>JCT. I-35 &amp; NE 23RD, (EAST SIDE OF BRIDGE)</t>
  </si>
  <si>
    <t>LINCOLN COUNTY LINE</t>
  </si>
  <si>
    <t>REINVENTORIED 2005 (18.82 MI. BEFORE)</t>
  </si>
  <si>
    <t>5505</t>
  </si>
  <si>
    <t>IS 44</t>
  </si>
  <si>
    <t>JCT. I-240, (EAST SIDE OF BRIDGE)</t>
  </si>
  <si>
    <t>JCT. I-40, (NORTH SIDE OF BRIDGE)</t>
  </si>
  <si>
    <t>LENGTH CORRECTED 2005 (4.88 MI. BEFORE)</t>
  </si>
  <si>
    <t>5506</t>
  </si>
  <si>
    <t>SH 66</t>
  </si>
  <si>
    <t>CANADIAN COUNTY LINE</t>
  </si>
  <si>
    <t>JCT. I-44, (SOUTH LANE MERGE WITH EASTBOUND I-44)</t>
  </si>
  <si>
    <t>5507</t>
  </si>
  <si>
    <t>JCT. I-40, (NORTH SIDE BRIDGES)</t>
  </si>
  <si>
    <t>NORTH &amp; EAST</t>
  </si>
  <si>
    <t>JCT. I-35, (NORTHBOUND LANE MERGE)</t>
  </si>
  <si>
    <t>LENGTH CORRECTED 2005 (10.66 MI. BEFORE)</t>
  </si>
  <si>
    <t>5509</t>
  </si>
  <si>
    <t>IS 35</t>
  </si>
  <si>
    <t>JCT. I-44, (NORTHBOUND GORE POINT)</t>
  </si>
  <si>
    <t>LOGAN COUNTY LINE (NORTH SIDE BRIDGE)</t>
  </si>
  <si>
    <t>LENGTH CORRECTED 2005 (13.37 MI. BEFORE)</t>
  </si>
  <si>
    <t>5510</t>
  </si>
  <si>
    <t>JCT. I-35 &amp; US 77 EAST, IN EDMOND (EAST SIDE BR.)</t>
  </si>
  <si>
    <t>5515</t>
  </si>
  <si>
    <t>CLEVELAND COUNTY LINE (NORTH SIDE BRIDGE)</t>
  </si>
  <si>
    <t>REALIGNMENT 2003 (12.54 MI. BEFORE)</t>
  </si>
  <si>
    <t>5532</t>
  </si>
  <si>
    <t>SH 270</t>
  </si>
  <si>
    <t>JCT. US 62, IN HARRAH (WEST WYE LEG)</t>
  </si>
  <si>
    <t>SOUTHEASTERLY</t>
  </si>
  <si>
    <t>POTTAWATOMIE COUNTY LINE</t>
  </si>
  <si>
    <t>5536</t>
  </si>
  <si>
    <t>SH 3</t>
  </si>
  <si>
    <t>JCT. SH 3A</t>
  </si>
  <si>
    <t>5542</t>
  </si>
  <si>
    <t>IS 235</t>
  </si>
  <si>
    <t>JCT. I-35, (NORTHBOUND GORE POINT)</t>
  </si>
  <si>
    <t>JCT. I-44, (NORTH END BRIDGE)</t>
  </si>
  <si>
    <t>SH 152</t>
  </si>
  <si>
    <t>JCT. I-44 (SOUTHBOUND GORE POINT)</t>
  </si>
  <si>
    <t>AGENDA ITEM 2006 (7.32 MI. BEFORE)</t>
  </si>
  <si>
    <t>5563</t>
  </si>
  <si>
    <t>SH 74</t>
  </si>
  <si>
    <t>JCT. I-44, (N.W. 39TH STREET)</t>
  </si>
  <si>
    <t>LOGAN COUNTY LINE</t>
  </si>
  <si>
    <t>OFFSET ALIGNMENT 2006</t>
  </si>
  <si>
    <t>5567</t>
  </si>
  <si>
    <t>US 77</t>
  </si>
  <si>
    <t>JCT. I-44, (NORTH SIDE BRIDGE)</t>
  </si>
  <si>
    <t>JCT. I-35 IN EDMOND (EAST SIDE BRIDGE)</t>
  </si>
  <si>
    <t>5568</t>
  </si>
  <si>
    <t>IS 40</t>
  </si>
  <si>
    <t>JCT. I-35, (NORTHEAST BOUND GORE POINT)</t>
  </si>
  <si>
    <t>REALIGNMENT 2003 (19.67 MI. BEFORE)</t>
  </si>
  <si>
    <t>5569</t>
  </si>
  <si>
    <t>JCT. I-35, (EASTBOUND MERGE WITH I-35 EASTBOUND)</t>
  </si>
  <si>
    <t>5570</t>
  </si>
  <si>
    <t>CLEVELAND COUNTY LINE (NORTH END BRIDGE)</t>
  </si>
  <si>
    <t>LENGTH CORRECTED 2005 (1.35 MI. BEFORE)</t>
  </si>
  <si>
    <t>5571</t>
  </si>
  <si>
    <t>IS 240</t>
  </si>
  <si>
    <t>JCT. I-44, (EAST SIDE BRIDGE)</t>
  </si>
  <si>
    <t>JCT. I-40, (EASTBOUND MERGE GORE POINT)</t>
  </si>
  <si>
    <t>LENGTH CORRECTED 2005 (16.28 MI. BEFORE)</t>
  </si>
  <si>
    <t>JCT. I-35, (EAST SIDE BRIDGE)</t>
  </si>
  <si>
    <t>NORTHEAST</t>
  </si>
  <si>
    <t xml:space="preserve">TURNER TURNPIKE </t>
  </si>
  <si>
    <t>5580</t>
  </si>
  <si>
    <t>SH</t>
  </si>
  <si>
    <t>I-235, (NORTH END BR.) (P-LOTS CAPTIOL PARK)</t>
  </si>
  <si>
    <t>TOLL RD</t>
  </si>
  <si>
    <t>JCT. I-35, (EAST END OF BRIDGE)</t>
  </si>
  <si>
    <t>WESTWARD</t>
  </si>
  <si>
    <t xml:space="preserve">KILPATRICK TURNPIKE </t>
  </si>
  <si>
    <t>5588</t>
  </si>
  <si>
    <t>SH 77H</t>
  </si>
  <si>
    <t>CLEVELAND COUNTY LINE</t>
  </si>
  <si>
    <t>JCT. I-240</t>
  </si>
  <si>
    <t>OKLAHOMA DEPARTMENT OF TRANSPORTATION  —  CONTROL SECTION LOG   —   TULSA COUNTY</t>
  </si>
  <si>
    <t>7206</t>
  </si>
  <si>
    <t>US 64</t>
  </si>
  <si>
    <t>JCT. US 169, (NORTH SIDE BRIDGE)</t>
  </si>
  <si>
    <t>SOUTH &amp; EASTERLY</t>
  </si>
  <si>
    <t>WAGONER COUNTY LINE</t>
  </si>
  <si>
    <t>7208</t>
  </si>
  <si>
    <t>CREEK COUNTY LINE</t>
  </si>
  <si>
    <t>JCT. I-244 (NORTHBOUND GORE POINT)</t>
  </si>
  <si>
    <t>7209</t>
  </si>
  <si>
    <t>IS 244</t>
  </si>
  <si>
    <t>JCT. I-44, (EASTBOUND GORE POINT)</t>
  </si>
  <si>
    <t>JCT. I-44 IN TULSA (I-44 EASTBOUND GORE POINT)</t>
  </si>
  <si>
    <t>LENGTH CORRECTED  2005 (15.75 MI. BEFORE)</t>
  </si>
  <si>
    <t>7217</t>
  </si>
  <si>
    <t>US 75</t>
  </si>
  <si>
    <t>OKMULGEE COUNTY LINE</t>
  </si>
  <si>
    <t>JCT. SH 67 IN GLENPOOL (NORTH SIDE BRIDE)</t>
  </si>
  <si>
    <t>7218</t>
  </si>
  <si>
    <t>JCT. SH 67 IN GLENPOOL (NORTH SIDE BRIDGE)</t>
  </si>
  <si>
    <t>JCT. I-244, (NORTHBOUND GORE POINT)</t>
  </si>
  <si>
    <t>7220</t>
  </si>
  <si>
    <t>SH 51</t>
  </si>
  <si>
    <t>JCT. SH 97 IN SAND SPRINGS</t>
  </si>
  <si>
    <t>JCT. US 64 IN SAND SPRINGS (NORTH SIDE BRIDGE)</t>
  </si>
  <si>
    <t>7231</t>
  </si>
  <si>
    <t>SH 266</t>
  </si>
  <si>
    <t>JCT. US 169, (WEST SIDE BRIDGE)</t>
  </si>
  <si>
    <t>ROGERS COUNTY LINE</t>
  </si>
  <si>
    <t>7236</t>
  </si>
  <si>
    <t>SH 11</t>
  </si>
  <si>
    <t>WASHINGTON COUNTY LINE</t>
  </si>
  <si>
    <t>SOUTHERLY</t>
  </si>
  <si>
    <t>JCT. SH 11, (36TH ST &amp; PEORIA AVE) IN TULSA</t>
  </si>
  <si>
    <t>7246</t>
  </si>
  <si>
    <t>SH 20</t>
  </si>
  <si>
    <t>OSAGE COUNTY LINE</t>
  </si>
  <si>
    <t>JCT. SH 11, (CINCINNATI &amp; ROGERS) IN SKIATOOK</t>
  </si>
  <si>
    <t>7250</t>
  </si>
  <si>
    <t>JCT. US 169 EAST OF COLLINSVILLE</t>
  </si>
  <si>
    <t>7254</t>
  </si>
  <si>
    <t>JCT. US 169, NORTHEAST OF OWASSO</t>
  </si>
  <si>
    <t>JCT. US 75 ,(WEST SIDE BRIDGE)</t>
  </si>
  <si>
    <t xml:space="preserve">CREEK TURNPIKE </t>
  </si>
  <si>
    <t>CREEK TURNPIKE (CONSTRUCTION 2002)</t>
  </si>
  <si>
    <t>7274</t>
  </si>
  <si>
    <t>SH 67</t>
  </si>
  <si>
    <t>JCT. US 64, (MEMORIAL &amp; E. 151ST) IN BIXBY</t>
  </si>
  <si>
    <t>7276</t>
  </si>
  <si>
    <t>SH 97</t>
  </si>
  <si>
    <t>JCT. SH 51 IN SAND SPRINGS</t>
  </si>
  <si>
    <t>7277</t>
  </si>
  <si>
    <t>7278</t>
  </si>
  <si>
    <t>ROGERS COUNTY LINE (EAST SIDE BRIDGE)</t>
  </si>
  <si>
    <t>7280</t>
  </si>
  <si>
    <t>JCT. I-444</t>
  </si>
  <si>
    <t>BROKEN ARROW FREEWAY</t>
  </si>
  <si>
    <t>7281</t>
  </si>
  <si>
    <t>US 169</t>
  </si>
  <si>
    <t>MINGO VALLEY FREEWAY</t>
  </si>
  <si>
    <t>7282</t>
  </si>
  <si>
    <t>SH 117</t>
  </si>
  <si>
    <t>JCT. US 75, NORTH OF GLENPOOL (EAST SIDE BRIDGE)</t>
  </si>
  <si>
    <t>7283</t>
  </si>
  <si>
    <t>JCT. US 64, (EAST SIDE BRIDGE)</t>
  </si>
  <si>
    <t>7284</t>
  </si>
  <si>
    <t>SH 135</t>
  </si>
  <si>
    <t>MAIN ST &amp; 2ND AVE IN OWASSO</t>
  </si>
  <si>
    <t>JCT. US 169, (EAST SIDE BRIDGE)</t>
  </si>
  <si>
    <t>7285</t>
  </si>
  <si>
    <t>7286</t>
  </si>
  <si>
    <t>JCT. I-244, (MERGE POINT E.B. US 64 &amp; E.B. I-244)</t>
  </si>
  <si>
    <t>KEYSTONE FREEWAY</t>
  </si>
  <si>
    <t>7290</t>
  </si>
  <si>
    <t>JCT. US 75, (EASTBOUND GORE POINT) IN TULSA</t>
  </si>
  <si>
    <t xml:space="preserve">EAST &amp; SOUTH </t>
  </si>
  <si>
    <t>JCT. I-244, (SOUTH SIDE BRIDGE)</t>
  </si>
  <si>
    <t>GILCREASE FREEWAY</t>
  </si>
  <si>
    <t>7291</t>
  </si>
  <si>
    <t>7292</t>
  </si>
  <si>
    <t>IS 444</t>
  </si>
  <si>
    <t>JCT. SH 51, (EASTBOUND GORE POINT)</t>
  </si>
  <si>
    <t>JCT. I-244, (NORTH SIDE BRIDGE)</t>
  </si>
  <si>
    <t>EAST SIDE INNER DISPERSAL LOOP</t>
  </si>
  <si>
    <t>7293</t>
  </si>
  <si>
    <t xml:space="preserve">NORTHERLY </t>
  </si>
  <si>
    <t>CHEROKEE FREEWAY</t>
  </si>
  <si>
    <t>7294</t>
  </si>
  <si>
    <t>JCT. I-244</t>
  </si>
  <si>
    <t>JCT. SH 51</t>
  </si>
  <si>
    <t>7295</t>
  </si>
  <si>
    <t>JCT. SH 11 NORTH, (PEORIA AVE.)</t>
  </si>
  <si>
    <t>JCT. US 75</t>
  </si>
  <si>
    <t>7297</t>
  </si>
  <si>
    <t>SH 151</t>
  </si>
  <si>
    <t>JCT. SH 51, (SOUTH SIDE BRIDGE)</t>
  </si>
  <si>
    <t>JCT. US 64, (NORTH SIDE BRIDGE)</t>
  </si>
  <si>
    <t>JCT. US 75, WEST SIDE BRIDGE (WEST OF JENKS)</t>
  </si>
  <si>
    <t>Requested Items from ODOT</t>
  </si>
  <si>
    <t>US 69/75 in Bryan County from the intersection of US 69/75 with NS366 to the US 70 bypass in the Duncan area. This is a total of approx. 8 miles</t>
  </si>
  <si>
    <t>Resp. Person</t>
  </si>
  <si>
    <t>Desired deliverable</t>
  </si>
  <si>
    <t>AADT tab</t>
  </si>
  <si>
    <t>Current Traffic volumes (yr  2015)</t>
  </si>
  <si>
    <t>D Johnson</t>
  </si>
  <si>
    <t>Mar 24</t>
  </si>
  <si>
    <t>Future Traffic Volumes - 30 yrs out</t>
  </si>
  <si>
    <t xml:space="preserve"> ---- Please provide above for these two segments (EW 217 to EW214l EW 214 to US 70 Bypass)</t>
  </si>
  <si>
    <t>Truck volumes - current and future</t>
  </si>
  <si>
    <t>In E Room</t>
  </si>
  <si>
    <t>Crash data on 75/69 and local street network for most recent 3 years - CONFIDENTIAL by LOCATION; only use aggregate</t>
  </si>
  <si>
    <t>L Koenig: state; Chad: local</t>
  </si>
  <si>
    <t>Truck crash data for most recent 3 years- CONFIDENTIAL by LOCATION; only use aggregate</t>
  </si>
  <si>
    <t>L Koenig/chad</t>
  </si>
  <si>
    <t xml:space="preserve">Statewide avg crash rate for similar functional classes to the project- CONFIDENTIAL by LOCATION; </t>
  </si>
  <si>
    <t>School bus routes</t>
  </si>
  <si>
    <t>Chad Pendley</t>
  </si>
  <si>
    <t xml:space="preserve">Rail: frequencies/day, average Main St delays/crossing, Avg length of trains, </t>
  </si>
  <si>
    <t>Linda (UP); Chad (local)</t>
  </si>
  <si>
    <t>Mar 28</t>
  </si>
  <si>
    <t>Rail: commodities shipped, hazmat, etc.</t>
  </si>
  <si>
    <t>schematics/design of interchanges</t>
  </si>
  <si>
    <t>Chad/Anthony/Triad</t>
  </si>
  <si>
    <t>Plan sheets - PDF</t>
  </si>
  <si>
    <t>triad</t>
  </si>
  <si>
    <t>Freight generation: distribution centers, plants, etc.</t>
  </si>
  <si>
    <t>Chad/Anthony /Linda</t>
  </si>
  <si>
    <t>Truck Weigh Station data</t>
  </si>
  <si>
    <t>Rick Johnson</t>
  </si>
  <si>
    <t>Existing delay/congestion data; location of delay</t>
  </si>
  <si>
    <t xml:space="preserve">Chad </t>
  </si>
  <si>
    <t>chad'</t>
  </si>
  <si>
    <t>Operations/maintenance costs</t>
  </si>
  <si>
    <t xml:space="preserve">Lary Willis/or Needs Study </t>
  </si>
  <si>
    <t>Location of emergency facilities - hospitals, fire stations, urgent care centers</t>
  </si>
  <si>
    <t>Chad</t>
  </si>
  <si>
    <t>Information regarding known business expansions, expansions to Tribal business operations</t>
  </si>
  <si>
    <t xml:space="preserve"> ---we can discuss confidentiality coverage in upcoming call for Tribal business expansions mentioned on call yesterday</t>
  </si>
  <si>
    <t>List of ODOT District contacts, engineer contacts with contact information</t>
  </si>
  <si>
    <t>Mar 18</t>
  </si>
  <si>
    <t>County Government Contact for local tax information</t>
  </si>
  <si>
    <t>Identified bottleneck locations in the project site</t>
  </si>
  <si>
    <t>Chad/Triad</t>
  </si>
  <si>
    <t>Mar 21</t>
  </si>
  <si>
    <t>chad</t>
  </si>
  <si>
    <t>Future speed limit changes as a full access controlled facility</t>
  </si>
  <si>
    <t>1,  2, 3</t>
  </si>
  <si>
    <t>Current &amp; future traffic volumes</t>
  </si>
  <si>
    <t>South part</t>
  </si>
  <si>
    <t>All veh</t>
  </si>
  <si>
    <t>trucks</t>
  </si>
  <si>
    <t>non-trk</t>
  </si>
  <si>
    <t>% trks</t>
  </si>
  <si>
    <t>North Part</t>
  </si>
  <si>
    <t>Database: DTIMS 2013-2014_COND_EXPORT (ORACLE)</t>
  </si>
  <si>
    <t>I-44, From I-244 east to the Arkansas River</t>
  </si>
  <si>
    <t>Subsection</t>
  </si>
  <si>
    <t>Begin Mileage</t>
  </si>
  <si>
    <t>End Mileage</t>
  </si>
  <si>
    <t>Total Mileage</t>
  </si>
  <si>
    <t>PQI</t>
  </si>
  <si>
    <t>IRI</t>
  </si>
  <si>
    <t>Pavement</t>
  </si>
  <si>
    <t>7278  00000000</t>
  </si>
  <si>
    <t>CRCP</t>
  </si>
  <si>
    <t>7278  00000012</t>
  </si>
  <si>
    <t>7278  00000038</t>
  </si>
  <si>
    <t>7278  00000063</t>
  </si>
  <si>
    <t>AC</t>
  </si>
  <si>
    <t>7278  00000140</t>
  </si>
  <si>
    <t>JCP</t>
  </si>
  <si>
    <t>US-69, From north of Calera north to new Durant Bypass.</t>
  </si>
  <si>
    <t>0702  00000340</t>
  </si>
  <si>
    <t>0702  00000462</t>
  </si>
  <si>
    <t>0702  00000512</t>
  </si>
  <si>
    <t>0702  00000770</t>
  </si>
  <si>
    <t>0702  00000906</t>
  </si>
  <si>
    <t>0702  00000960</t>
  </si>
  <si>
    <t>0702  00000967</t>
  </si>
  <si>
    <t>0702  00001021</t>
  </si>
  <si>
    <t>0702  00001077</t>
  </si>
  <si>
    <t>0702  00001087</t>
  </si>
  <si>
    <t>0703  00000000</t>
  </si>
  <si>
    <t>0703  00000024</t>
  </si>
  <si>
    <t>I-40, From Industrial Road east to I-240.</t>
  </si>
  <si>
    <t>5568  00000655</t>
  </si>
  <si>
    <t>5568  00000873</t>
  </si>
  <si>
    <t>5568  00000938</t>
  </si>
  <si>
    <t>PQI Rating Categories</t>
  </si>
  <si>
    <t>IRI Rating Categories</t>
  </si>
  <si>
    <t>Good:</t>
  </si>
  <si>
    <t>91-100</t>
  </si>
  <si>
    <t>&lt;95</t>
  </si>
  <si>
    <t>Fair:</t>
  </si>
  <si>
    <t>75-90</t>
  </si>
  <si>
    <t>95-170</t>
  </si>
  <si>
    <t>Poor:</t>
  </si>
  <si>
    <t>0-74</t>
  </si>
  <si>
    <t>&gt;170</t>
  </si>
  <si>
    <t>2014 Apparent Age</t>
  </si>
  <si>
    <t>2020 PQI if Reconstructed CRCP</t>
  </si>
  <si>
    <t>2045 PQI if Reconstructed CRCP</t>
  </si>
  <si>
    <t>2020 PQI if Not Improved</t>
  </si>
  <si>
    <t>2020 Improvement Activity</t>
  </si>
  <si>
    <t>2020 Apparent Age</t>
  </si>
  <si>
    <t>2020 PQI if Improved</t>
  </si>
  <si>
    <t>2020 Improvement Cost/Ln-Mi</t>
  </si>
  <si>
    <t>2030-2045 Preservation Costs/Ln-Mi</t>
  </si>
  <si>
    <t>2045 PQI if Maintained</t>
  </si>
  <si>
    <t>Maintenance Frequency</t>
  </si>
  <si>
    <t>Major Rehab</t>
  </si>
  <si>
    <t>Heavy Rehab in 2020, Preservation every five years</t>
  </si>
  <si>
    <t>Reconstruction</t>
  </si>
  <si>
    <t>Reconstruction in 2020, Preservation every five years</t>
  </si>
  <si>
    <t>Total 4-Lane Cost</t>
  </si>
  <si>
    <t>Minor Rehab</t>
  </si>
  <si>
    <t>Minor Rehab in 2020, Preservation every five years</t>
  </si>
  <si>
    <t>Reconstruction in 2020, Preservation every ten years</t>
  </si>
  <si>
    <t>Preservation in 2020, Preservation every five years</t>
  </si>
  <si>
    <t>Cover Sheet Info</t>
  </si>
  <si>
    <t>Comments</t>
  </si>
  <si>
    <t xml:space="preserve">US69/US75 Upgrade to Limited Access Highway </t>
  </si>
  <si>
    <t>could have north part and south part</t>
  </si>
  <si>
    <t>Project Name</t>
  </si>
  <si>
    <t xml:space="preserve">US69US75 Limited Access Highway </t>
  </si>
  <si>
    <t>Previously Incurred Project Cost</t>
  </si>
  <si>
    <t>$Geometric Analysis $245,500; Survey $380,000</t>
  </si>
  <si>
    <t>Future Eligible Project Cast</t>
  </si>
  <si>
    <t>$180 M</t>
  </si>
  <si>
    <t>Total Project Cost</t>
  </si>
  <si>
    <t>$180.6 M</t>
  </si>
  <si>
    <t>NSFHP Request</t>
  </si>
  <si>
    <t>?  $100M</t>
  </si>
  <si>
    <t>Total Federal Funding (including NSFHP)</t>
  </si>
  <si>
    <t>20 M retaining walls; south half more expensive/foot</t>
  </si>
  <si>
    <t xml:space="preserve">  Are matching funds restricted to a specific project component?</t>
  </si>
  <si>
    <t>No</t>
  </si>
  <si>
    <t>If yes, which one?</t>
  </si>
  <si>
    <t>Is the project or a portion of the project located on the Nat'l Hwy Freight Network?</t>
  </si>
  <si>
    <t>Is the project or a portion of the project located on the Nat'l Hwy System (NHS)?</t>
  </si>
  <si>
    <t>Yes</t>
  </si>
  <si>
    <t xml:space="preserve">     Does the project add capacity  to the Interstate system?</t>
  </si>
  <si>
    <t>operational imprvt  w improved LOS no add'l lanes</t>
  </si>
  <si>
    <t xml:space="preserve">will add frontage roads &amp; redesign from an arterial   </t>
  </si>
  <si>
    <t>to limited access "urban freeway" type facility</t>
  </si>
  <si>
    <t xml:space="preserve">     Is the project in a national scenic area?</t>
  </si>
  <si>
    <t>Do the project components include railroad-highway grade crossing or grade separation component (projects).</t>
  </si>
  <si>
    <t>local  street (Main St), RR crossing, US69/75 conflict</t>
  </si>
  <si>
    <t>~Main conflict</t>
  </si>
  <si>
    <t>McKinley</t>
  </si>
  <si>
    <t xml:space="preserve">Do the project components include      </t>
  </si>
  <si>
    <t>*an intermodal or freight rail project,</t>
  </si>
  <si>
    <t xml:space="preserve">*or freight project within the boundaries </t>
  </si>
  <si>
    <t xml:space="preserve">of a public or private freight rail, water </t>
  </si>
  <si>
    <t>(including ports), or intermodal facility</t>
  </si>
  <si>
    <r>
      <t xml:space="preserve">If answered </t>
    </r>
    <r>
      <rPr>
        <b/>
        <sz val="11"/>
        <color theme="1"/>
        <rFont val="Calibri"/>
        <family val="2"/>
        <scheme val="minor"/>
      </rPr>
      <t>yes</t>
    </r>
    <r>
      <rPr>
        <sz val="10"/>
        <rFont val="Arial"/>
        <family val="2"/>
      </rPr>
      <t xml:space="preserve"> to </t>
    </r>
    <r>
      <rPr>
        <b/>
        <sz val="11"/>
        <color theme="1"/>
        <rFont val="Calibri"/>
        <family val="2"/>
        <scheme val="minor"/>
      </rPr>
      <t>either</t>
    </r>
    <r>
      <rPr>
        <sz val="10"/>
        <rFont val="Arial"/>
        <family val="2"/>
      </rPr>
      <t xml:space="preserve"> of the two component questions above, how much of requested NSFHP funds will be spent on each of these projects components?</t>
    </r>
  </si>
  <si>
    <t>State(s) in which project is located</t>
  </si>
  <si>
    <t>Oklahoma</t>
  </si>
  <si>
    <t>Small or large project</t>
  </si>
  <si>
    <t>large</t>
  </si>
  <si>
    <t>Also submitting an application to TIGER for this project?</t>
  </si>
  <si>
    <t>Urbanized Area in which project is located</t>
  </si>
  <si>
    <t>If applicable, Population of Urbanized Area</t>
  </si>
  <si>
    <t>(rural county (s) in which project is located)</t>
  </si>
  <si>
    <t>Bryan</t>
  </si>
  <si>
    <t xml:space="preserve">If applicable, Population of rural county) </t>
  </si>
  <si>
    <t xml:space="preserve">Is project currently programmed in: </t>
  </si>
  <si>
    <t>TIP</t>
  </si>
  <si>
    <t>NA</t>
  </si>
  <si>
    <t>STIP</t>
  </si>
  <si>
    <t>Will amend as needed</t>
  </si>
  <si>
    <t>MPO LRTP</t>
  </si>
  <si>
    <t>Yes/No</t>
  </si>
  <si>
    <t>State LRTP</t>
  </si>
  <si>
    <t>LK will fix</t>
  </si>
  <si>
    <t>ROW and Utilities in 8 yr CWP - 2023</t>
  </si>
  <si>
    <t>State Freight Plan</t>
  </si>
  <si>
    <t xml:space="preserve">LAT/LONG PROJECT BEGIN:  </t>
  </si>
  <si>
    <t>33°52'44.87"N, 96°29'55.32"W</t>
  </si>
  <si>
    <t xml:space="preserve">LAT/LONG PROJECT END:   </t>
  </si>
  <si>
    <t>33°57'55.70"N, 96°24'59.93"W</t>
  </si>
  <si>
    <t xml:space="preserve">FASTLANE PROJECT PREPARATION; March 10, 2106 </t>
  </si>
  <si>
    <t>March 10 2016</t>
  </si>
  <si>
    <t xml:space="preserve">Preferred Identifier for files: </t>
  </si>
  <si>
    <t xml:space="preserve">US69/US 75 CALR </t>
  </si>
  <si>
    <t>Preliminary Engineering - % complete</t>
  </si>
  <si>
    <t>ROW acquired - % complete</t>
  </si>
  <si>
    <t>rail row desired; hopefully no other needs</t>
  </si>
  <si>
    <t>Utilities relocated - % complete</t>
  </si>
  <si>
    <t>some utility relocation req'd</t>
  </si>
  <si>
    <t>Contact with associated local government</t>
  </si>
  <si>
    <t>Calera, Durant</t>
  </si>
  <si>
    <t>Contact with associated tribal govt</t>
  </si>
  <si>
    <t>Choctaw</t>
  </si>
  <si>
    <t>Public involvement - % complete</t>
  </si>
  <si>
    <t>Environmental Review - % complete</t>
  </si>
  <si>
    <t>Expected env action (FONSI, CE, EA, etc)</t>
  </si>
  <si>
    <t>Documented CE</t>
  </si>
  <si>
    <t>noise, socioeconomic data</t>
  </si>
  <si>
    <t>Anticipated PE complete</t>
  </si>
  <si>
    <t>June 2017</t>
  </si>
  <si>
    <t>Anticipated ROW &amp; utilities complete</t>
  </si>
  <si>
    <t>Dec 2018?</t>
  </si>
  <si>
    <t>Anticipated NEPA complete</t>
  </si>
  <si>
    <t>Anticipated final plans complete</t>
  </si>
  <si>
    <t>Nov 2018</t>
  </si>
  <si>
    <r>
      <t>Anticipated date of obligation of funds (</t>
    </r>
    <r>
      <rPr>
        <b/>
        <sz val="12"/>
        <color rgb="FFFF0000"/>
        <rFont val="Calibri"/>
        <family val="2"/>
        <scheme val="minor"/>
      </rPr>
      <t>SEP 2019)</t>
    </r>
  </si>
  <si>
    <t>Jan 2019</t>
  </si>
  <si>
    <t>March 2019</t>
  </si>
  <si>
    <t>Conceptual Plans</t>
  </si>
  <si>
    <t>Nov 2016</t>
  </si>
  <si>
    <t>Geometric Eval &amp; Operational Analysis</t>
  </si>
  <si>
    <t>Sep 2016</t>
  </si>
  <si>
    <t>Benefit-Cost Analysis in 2016 Dollars</t>
  </si>
  <si>
    <t>COSTS</t>
  </si>
  <si>
    <t>BENEFITS</t>
  </si>
  <si>
    <t>7% DISCOUNT</t>
  </si>
  <si>
    <t>Discount Factor</t>
  </si>
  <si>
    <t>Year</t>
  </si>
  <si>
    <t>US 69/75 Controlled Access Facility in Bryan County, Oklahoma</t>
  </si>
  <si>
    <t>PROJECT ELEMENTS</t>
  </si>
  <si>
    <t xml:space="preserve">     EW214 (Platter Road)</t>
  </si>
  <si>
    <t xml:space="preserve">     Main Street</t>
  </si>
  <si>
    <t xml:space="preserve">     EW211 (Choctaw Road)</t>
  </si>
  <si>
    <t>Frontage roads</t>
  </si>
  <si>
    <t>Elimination of signalized intersections and access points</t>
  </si>
  <si>
    <t>QUANTIFY FOR BCA</t>
  </si>
  <si>
    <t>Capital costs</t>
  </si>
  <si>
    <t>Accident reduction (fatality, injury, and property)</t>
  </si>
  <si>
    <t>Maintenance cost savings</t>
  </si>
  <si>
    <t>4 Grade separations (South to North)</t>
  </si>
  <si>
    <t xml:space="preserve">     South 9th Ave flyover ramp</t>
  </si>
  <si>
    <t>VMT, VOC, Time due to new routes (local traffic)</t>
  </si>
  <si>
    <t>Increased emissions due to new routes? (local traffic)</t>
  </si>
  <si>
    <t>VOC Savings (highway traffic)</t>
  </si>
  <si>
    <t>Travel time savings (highway traffic)</t>
  </si>
  <si>
    <t>Reduced emissions (highway traffic)</t>
  </si>
  <si>
    <t>HIGHWAY SEGMENTS (SOUTH TO NORTH)</t>
  </si>
  <si>
    <t>South of EW214 (Platter Road)</t>
  </si>
  <si>
    <t>EW214 (Platter Road) to Main Street</t>
  </si>
  <si>
    <t>Main Street to EW211 (Choctaw Road)</t>
  </si>
  <si>
    <t>North of EW211 (Choctaw Road)</t>
  </si>
  <si>
    <t>Segment</t>
  </si>
  <si>
    <t>Segment Analysis - No Build (2016)</t>
  </si>
  <si>
    <t>Benefit Calculations</t>
  </si>
  <si>
    <t>Base Year</t>
  </si>
  <si>
    <t>Construction begins</t>
  </si>
  <si>
    <t>Construction Complete; benefits begin accruing</t>
  </si>
  <si>
    <t>Sum</t>
  </si>
  <si>
    <t>I. State of Good Repair</t>
  </si>
  <si>
    <t>Grade Separation Maintenance Costs</t>
  </si>
  <si>
    <t>Road Maintenance Costs Avoided</t>
  </si>
  <si>
    <t>Rail Crossing Signal Maintenance Costs Avoided</t>
  </si>
  <si>
    <t>$50,000 annualized replacement cost, $20,000 annual maintenance cost</t>
  </si>
  <si>
    <t>[Union Pacific Railroad]</t>
  </si>
  <si>
    <t>Total Value of State of Good Repair Savings</t>
  </si>
  <si>
    <t>II.  Economic Competitiveness</t>
  </si>
  <si>
    <t>Gasoline Fuel consumed at Idle - Passenger Vehicle</t>
  </si>
  <si>
    <t>[US Department of Energy]</t>
  </si>
  <si>
    <t>Gasoline Fuel Savings</t>
  </si>
  <si>
    <t>Price of Gasoline</t>
  </si>
  <si>
    <t>Value of Gasoline Fuel Savings</t>
  </si>
  <si>
    <t>price escalation factor</t>
  </si>
  <si>
    <t>Diesel Fuel consumed at Idle - Truck</t>
  </si>
  <si>
    <t>[Argonne National Laboratory]</t>
  </si>
  <si>
    <t>Diesel Fuel Savings</t>
  </si>
  <si>
    <t>Price of Diesel Fuel</t>
  </si>
  <si>
    <t>Value of Diesel Fuel Savings</t>
  </si>
  <si>
    <t>Travel Time Savings in Hours - Passenger Vehicles</t>
  </si>
  <si>
    <t>Travel Time Savings in Hours - Truck</t>
  </si>
  <si>
    <t>Value of Travel Time - Passenger Vehicles</t>
  </si>
  <si>
    <t>per hour</t>
  </si>
  <si>
    <t>Source: [USDOT, Revised Departmental Guidance on Valuation of Travel Time in Economic Analysis (Revision 2 - corrected), 2011]</t>
  </si>
  <si>
    <t>Travel Time Savings - Passenger Vehicles</t>
  </si>
  <si>
    <t>Value of Travel Time  - Truck</t>
  </si>
  <si>
    <t>Travel Time Savings - Truck</t>
  </si>
  <si>
    <t>Total Value of Economic Competitiveness Savings</t>
  </si>
  <si>
    <t>Monopsony Value of Reduced Fuel Consumption</t>
  </si>
  <si>
    <t>per gallon</t>
  </si>
  <si>
    <t>[NHTSA 2007, inflated to 2013 dollars]</t>
  </si>
  <si>
    <t>Monopsony Savings</t>
  </si>
  <si>
    <t>Price Shock Value of Reduced Fuel Consumption</t>
  </si>
  <si>
    <t>Price Shock Savings</t>
  </si>
  <si>
    <t>Average Reduction in non-GHG Emissions From Trucks During Analysis Period</t>
  </si>
  <si>
    <t>NOX, MT per gallon (gasoline)</t>
  </si>
  <si>
    <t>MT per gallon</t>
  </si>
  <si>
    <t>[US EPA]</t>
  </si>
  <si>
    <t>NOX, MT per gallon (Diesel)</t>
  </si>
  <si>
    <t>[Texas Transportation Institute]</t>
  </si>
  <si>
    <t>Value of reduced NOX emissions</t>
  </si>
  <si>
    <t>$ / MT</t>
  </si>
  <si>
    <t>NOX Emissions Reduction</t>
  </si>
  <si>
    <t>NOX Emissions Savings (2013$)</t>
  </si>
  <si>
    <t>PM, MT per gallon (gasoline)</t>
  </si>
  <si>
    <t>PM, MT per gallon (Diesel)</t>
  </si>
  <si>
    <t>Value of reduced PM emissions</t>
  </si>
  <si>
    <t>PM Emissions Reduction</t>
  </si>
  <si>
    <t>PM Emissions Savings (2013$)</t>
  </si>
  <si>
    <t>Carbon Dioxide, MT per gallon (gasoline)</t>
  </si>
  <si>
    <t>Carbon Dioxide, MT per gallon (Diesel)</t>
  </si>
  <si>
    <t>Value of reduced CO2 emissions</t>
  </si>
  <si>
    <t>see "Sustainability" Tab</t>
  </si>
  <si>
    <t>Carbon Dioxide Emissions Reduction</t>
  </si>
  <si>
    <t>Carbon Dioxide Emissions Savings (2013$)</t>
  </si>
  <si>
    <t>pre-discounted at 3%</t>
  </si>
  <si>
    <t>IV.  Safety</t>
  </si>
  <si>
    <t>Highway-Rail At Grade Crossing Fatalities Avoided</t>
  </si>
  <si>
    <t>deaths avoided, annually</t>
  </si>
  <si>
    <t>[FRA]</t>
  </si>
  <si>
    <t>Value of a Statistical Life</t>
  </si>
  <si>
    <t>[USDOT, Treatment of the Economic Value of a Statistical Life in Departmental Analyses, 2013]</t>
  </si>
  <si>
    <t>Value of Fatal Crashes Avoided</t>
  </si>
  <si>
    <t>Highway-Rail At Grade Crossing Injuries Avoided</t>
  </si>
  <si>
    <t>injuries avoided, annually</t>
  </si>
  <si>
    <t xml:space="preserve">Other Vehicle Crash Injuries Avoided </t>
  </si>
  <si>
    <t>Value per Injury Crash Avoided</t>
  </si>
  <si>
    <t>Value of Injury Crashes Avoided</t>
  </si>
  <si>
    <t>Highway-Rail At Grade Crossing Property Damage Crashes Avoided</t>
  </si>
  <si>
    <t>property crashes avoided, annually</t>
  </si>
  <si>
    <t>Value per Property Damage Crash (GS-6 crossing)</t>
  </si>
  <si>
    <t>Value of Property Damage Crashes Avoided</t>
  </si>
  <si>
    <t>Total Value of All Safety Benefits</t>
  </si>
  <si>
    <t>SUM OF ALL BENEFITS IN 2013 DOLLARS (Excluding CO2)</t>
  </si>
  <si>
    <t>Discounting Factors at 3%</t>
  </si>
  <si>
    <t>Discounting Factors at 7%</t>
  </si>
  <si>
    <t>Discounted Benefits at 3%</t>
  </si>
  <si>
    <t>State of Good Repair</t>
  </si>
  <si>
    <t>Economic Competitiveness</t>
  </si>
  <si>
    <t>Sustainability</t>
  </si>
  <si>
    <t>Safety</t>
  </si>
  <si>
    <t>Discounted Benefits at 7%</t>
  </si>
  <si>
    <t>Cost Calculations</t>
  </si>
  <si>
    <t>I. Project Cost</t>
  </si>
  <si>
    <t>Total Cost</t>
  </si>
  <si>
    <t>Phase I &amp; II Costs</t>
  </si>
  <si>
    <t>Construction Cost</t>
  </si>
  <si>
    <t>III. Construction Detour Costs</t>
  </si>
  <si>
    <t>Detour Costs</t>
  </si>
  <si>
    <t>SUM OF ALL COSTS IN 2013 DOLLARS</t>
  </si>
  <si>
    <t>Discounted Costs at 3%</t>
  </si>
  <si>
    <t>Discounted Costs at 7%</t>
  </si>
  <si>
    <t>Benefit Cost Ratio with 3% Discount</t>
  </si>
  <si>
    <t>Benefit Cost Ratio with 7% Discount</t>
  </si>
  <si>
    <t>III.  Environmental Sustainability</t>
  </si>
  <si>
    <t>Total Value of All Environmental Sustainability Benefits (excluding CO2)</t>
  </si>
  <si>
    <t>Data and Calculation Tables</t>
  </si>
  <si>
    <t>Delay and Value of Time Calculation Tables</t>
  </si>
  <si>
    <t>Truck Factor</t>
  </si>
  <si>
    <t>ADT</t>
  </si>
  <si>
    <t>Passenger Vehicles</t>
  </si>
  <si>
    <t>Trucks</t>
  </si>
  <si>
    <t>Percentage of Gate Down Time</t>
  </si>
  <si>
    <t>Number of Trains</t>
  </si>
  <si>
    <t>Gate Down Time</t>
  </si>
  <si>
    <t>Vehicles Subject to Delay</t>
  </si>
  <si>
    <t>Vehicles</t>
  </si>
  <si>
    <t>Vehicles per second</t>
  </si>
  <si>
    <t>Travel Time Savings due to Diversion</t>
  </si>
  <si>
    <t>Hours of Daily PV Delay</t>
  </si>
  <si>
    <t>Hours of Daily Truck Delay</t>
  </si>
  <si>
    <t>Other Parameters</t>
  </si>
  <si>
    <t>Passenger Vehicles - Average Percentage of Delay Experienced</t>
  </si>
  <si>
    <t>Trucks - Average Percentage of Delay Experienced</t>
  </si>
  <si>
    <t>Hours of Daily PV delay</t>
  </si>
  <si>
    <t>Hours of Daily Truck delay</t>
  </si>
  <si>
    <t>Value of time</t>
  </si>
  <si>
    <t>Annual Hours of PV Delay</t>
  </si>
  <si>
    <t>Annual Hours of Truck Delay</t>
  </si>
  <si>
    <t>Passenger Cars</t>
  </si>
  <si>
    <t>Monetized Value of Time</t>
  </si>
  <si>
    <t>Growth Factors</t>
  </si>
  <si>
    <t>25th Avenue</t>
  </si>
  <si>
    <t>Total VOT Savings</t>
  </si>
  <si>
    <t>IDOT</t>
  </si>
  <si>
    <t>Region</t>
  </si>
  <si>
    <t>Regional Passenger Vehicle Growth Rate</t>
  </si>
  <si>
    <t>CS / CMAP</t>
  </si>
  <si>
    <t>Regional Truck Growth Rate</t>
  </si>
  <si>
    <t>Source: Oklahoma Department of Transportation</t>
  </si>
  <si>
    <t>Travel Time Savings Due to No At Grade Intersection</t>
  </si>
  <si>
    <t>Segment 2 - EW214 (Platter Road) to Main Street</t>
  </si>
  <si>
    <t>Segment 3 - Main Street to EW211 (Choctaw Road)</t>
  </si>
  <si>
    <t>Current (2016)</t>
  </si>
  <si>
    <t>Segment 4 - North of EW211 (Choctaw Road)</t>
  </si>
  <si>
    <t>2016-2035 CAGR</t>
  </si>
  <si>
    <t>2035-2046 CAGR</t>
  </si>
  <si>
    <t>Percentage of Red Light Time</t>
  </si>
  <si>
    <t>Number of Red Lights; Average and Total Red Light Time</t>
  </si>
  <si>
    <t>Average Red Light Time (minutes)</t>
  </si>
  <si>
    <t>Average Red Light Time in Seconds</t>
  </si>
  <si>
    <t>Number of Red Lights per Day</t>
  </si>
  <si>
    <t>Number of Red Lights per Hour</t>
  </si>
  <si>
    <t>Total Red Light Time per Hour (minutes)</t>
  </si>
  <si>
    <t>Total Red Light Time per Hour (seconds)</t>
  </si>
  <si>
    <t>Percentage of Red Light Time per Hour</t>
  </si>
  <si>
    <t>Total Red Light Time per Day (minutes)</t>
  </si>
  <si>
    <t>Total Red Light Time per Day (seconds)</t>
  </si>
  <si>
    <t>Calculated  Number of Vehicles Arriving During Red Light Time</t>
  </si>
  <si>
    <t>Vehicles arriving during red light time</t>
  </si>
  <si>
    <t>Percentage of vehicles arriving during red light time</t>
  </si>
  <si>
    <t>Annual Delay Increase due to AADT Growth</t>
  </si>
  <si>
    <t>Hours of Daily Passenger Vehicle Delay</t>
  </si>
  <si>
    <t>Hours of Daily Passenger Vehicle delay</t>
  </si>
  <si>
    <t>Annual Hours of Passenger Vehicle Delay</t>
  </si>
  <si>
    <t>Highway Traffic Levels</t>
  </si>
  <si>
    <t>Percentage of Red Light Time per Day</t>
  </si>
  <si>
    <t>SEGMENT 2 - EW214 (Platter Road) to Main Street</t>
  </si>
  <si>
    <t>Segment 2 - Calculated Delay and VOT Savings</t>
  </si>
  <si>
    <t>Traffic Signal - US 69/75 &amp; Main St</t>
  </si>
  <si>
    <t>Red Light Time per Day (seconds)</t>
  </si>
  <si>
    <t>Vehicles Subject to Traffic Signal Delay</t>
  </si>
  <si>
    <t>Travel Time Savings due to Speed Limit Increase</t>
  </si>
  <si>
    <t>Speed Limit Data</t>
  </si>
  <si>
    <t>Speed Limit (2016)</t>
  </si>
  <si>
    <t>Miles per Hour</t>
  </si>
  <si>
    <t>Consumer Price Index - All Urban Consumers</t>
  </si>
  <si>
    <t>Original Data Value</t>
  </si>
  <si>
    <t>Series Id:</t>
  </si>
  <si>
    <t>CUUR0300SA0</t>
  </si>
  <si>
    <t>Not Seasonally Adjusted</t>
  </si>
  <si>
    <t>Area:</t>
  </si>
  <si>
    <t>South urban</t>
  </si>
  <si>
    <t>Item:</t>
  </si>
  <si>
    <t>All items</t>
  </si>
  <si>
    <t>Base Period:</t>
  </si>
  <si>
    <t>1982-84=100</t>
  </si>
  <si>
    <t>Years:</t>
  </si>
  <si>
    <t>2006 to 2016</t>
  </si>
  <si>
    <t>Jan</t>
  </si>
  <si>
    <t>Feb</t>
  </si>
  <si>
    <t>Mar</t>
  </si>
  <si>
    <t>Apr</t>
  </si>
  <si>
    <t>May</t>
  </si>
  <si>
    <t>Jun</t>
  </si>
  <si>
    <t>Jul</t>
  </si>
  <si>
    <t>Aug</t>
  </si>
  <si>
    <t>Sep</t>
  </si>
  <si>
    <t>Oct</t>
  </si>
  <si>
    <t>Nov</t>
  </si>
  <si>
    <t>Dec</t>
  </si>
  <si>
    <t>HALF1</t>
  </si>
  <si>
    <t>HALF2</t>
  </si>
  <si>
    <t>2014$</t>
  </si>
  <si>
    <t>Source: USDOT BCA Resource Guide, Pg 5</t>
  </si>
  <si>
    <t>Vehicle Miles Traveled (VMT)</t>
  </si>
  <si>
    <t>Length of Highway Segment</t>
  </si>
  <si>
    <t>Miles per Minute</t>
  </si>
  <si>
    <t>Segment Travel Time (minutes)</t>
  </si>
  <si>
    <t>Speed Limit (Future)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</si>
</sst>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quot;$&quot;* #,##0.0_);_(&quot;$&quot;* \(#,##0.0\);_(&quot;$&quot;* &quot;-&quot;??_);_(@_)"/>
    <numFmt numFmtId="165" formatCode="_(&quot;$&quot;* #,##0_);_(&quot;$&quot;* \(#,##0\);_(&quot;$&quot;* &quot;-&quot;??_);_(@_)"/>
    <numFmt numFmtId="166" formatCode="_(* #,##0.0_);_(* \(#,##0.0\);_(* &quot;-&quot;??_);_(@_)"/>
    <numFmt numFmtId="167" formatCode="_(* #,##0_);_(* \(#,##0\);_(* &quot;-&quot;??_);_(@_)"/>
    <numFmt numFmtId="168" formatCode="0.0_);[Red]\(0.0\)"/>
    <numFmt numFmtId="169" formatCode="0_);[Red]\(0\)"/>
    <numFmt numFmtId="170" formatCode="0.0"/>
    <numFmt numFmtId="171" formatCode="0.00000"/>
    <numFmt numFmtId="172" formatCode="&quot;$&quot;#,##0"/>
    <numFmt numFmtId="173" formatCode="&quot;$&quot;#,##0.00"/>
    <numFmt numFmtId="174" formatCode="#,##0.0_);\(#,##0.0\)"/>
    <numFmt numFmtId="175" formatCode="0.0%"/>
    <numFmt numFmtId="176" formatCode="0.000%"/>
    <numFmt numFmtId="177" formatCode="_(* #,##0.00000_);_(* \(#,##0.00000\);_(* &quot;-&quot;??_);_(@_)"/>
    <numFmt numFmtId="178" formatCode="#,##0.0000_);[Red]\(#,##0.0000\)"/>
    <numFmt numFmtId="179" formatCode="0.0000000"/>
    <numFmt numFmtId="180" formatCode="0.0000"/>
    <numFmt numFmtId="181" formatCode="_(* #,##0.000_);_(* \(#,##0.000\);_(* &quot;-&quot;??_);_(@_)"/>
    <numFmt numFmtId="182" formatCode="0.000"/>
    <numFmt numFmtId="183" formatCode="[$-F400]h:mm:ss\ AM/PM"/>
    <numFmt numFmtId="184" formatCode="#0.0"/>
    <numFmt numFmtId="185" formatCode="#0.000"/>
  </numFmts>
  <fonts count="8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u/>
      <sz val="10"/>
      <name val="Arial"/>
      <family val="2"/>
    </font>
    <font>
      <sz val="10"/>
      <color indexed="12"/>
      <name val="Arial"/>
      <family val="2"/>
    </font>
    <font>
      <sz val="14"/>
      <color indexed="10"/>
      <name val="Arial"/>
      <family val="2"/>
    </font>
    <font>
      <b/>
      <sz val="10"/>
      <color indexed="10"/>
      <name val="Arial"/>
      <family val="2"/>
    </font>
    <font>
      <b/>
      <sz val="14"/>
      <color indexed="10"/>
      <name val="Arial"/>
      <family val="2"/>
    </font>
    <font>
      <b/>
      <sz val="12"/>
      <name val="Arial"/>
      <family val="2"/>
    </font>
    <font>
      <sz val="11"/>
      <name val="Arial"/>
      <family val="2"/>
    </font>
    <font>
      <b/>
      <sz val="11"/>
      <color indexed="10"/>
      <name val="Arial"/>
      <family val="2"/>
    </font>
    <font>
      <b/>
      <sz val="10"/>
      <color indexed="12"/>
      <name val="Arial"/>
      <family val="2"/>
    </font>
    <font>
      <b/>
      <sz val="14"/>
      <name val="Arial"/>
      <family val="2"/>
    </font>
    <font>
      <sz val="10"/>
      <name val="Arial"/>
      <family val="2"/>
    </font>
    <font>
      <b/>
      <sz val="9"/>
      <color indexed="81"/>
      <name val="Tahoma"/>
      <family val="2"/>
    </font>
    <font>
      <sz val="9"/>
      <color indexed="81"/>
      <name val="Tahoma"/>
      <family val="2"/>
    </font>
    <font>
      <sz val="8"/>
      <name val="Arial"/>
      <family val="2"/>
    </font>
    <font>
      <sz val="9"/>
      <name val="Arial"/>
      <family val="2"/>
    </font>
    <font>
      <i/>
      <sz val="10"/>
      <name val="Arial"/>
      <family val="2"/>
    </font>
    <font>
      <u/>
      <sz val="10"/>
      <color indexed="12"/>
      <name val="Arial"/>
      <family val="2"/>
    </font>
    <font>
      <sz val="11"/>
      <name val="Calibri"/>
      <family val="2"/>
    </font>
    <font>
      <sz val="10"/>
      <name val="Calibri"/>
      <family val="2"/>
    </font>
    <font>
      <sz val="9"/>
      <color indexed="10"/>
      <name val="Tahoma"/>
      <family val="2"/>
    </font>
    <font>
      <sz val="10"/>
      <name val="Arial"/>
      <family val="2"/>
    </font>
    <font>
      <u/>
      <sz val="11"/>
      <color indexed="8"/>
      <name val="Calibri"/>
      <family val="2"/>
    </font>
    <font>
      <b/>
      <sz val="11"/>
      <name val="Calibri"/>
      <family val="2"/>
    </font>
    <font>
      <sz val="7"/>
      <name val="Times New Roman"/>
      <family val="1"/>
    </font>
    <font>
      <u/>
      <sz val="10"/>
      <name val="Arial"/>
      <family val="2"/>
    </font>
    <font>
      <sz val="11"/>
      <color theme="1"/>
      <name val="Calibri"/>
      <family val="2"/>
      <scheme val="minor"/>
    </font>
    <font>
      <u/>
      <sz val="10"/>
      <color theme="10"/>
      <name val="Arial"/>
      <family val="2"/>
    </font>
    <font>
      <b/>
      <sz val="11"/>
      <color theme="1"/>
      <name val="Calibri"/>
      <family val="2"/>
      <scheme val="minor"/>
    </font>
    <font>
      <sz val="11"/>
      <color rgb="FFFF0000"/>
      <name val="Calibri"/>
      <family val="2"/>
      <scheme val="minor"/>
    </font>
    <font>
      <sz val="11"/>
      <color rgb="FF0000FF"/>
      <name val="Calibri"/>
      <family val="2"/>
      <scheme val="minor"/>
    </font>
    <font>
      <sz val="10"/>
      <color rgb="FF0000FF"/>
      <name val="Arial"/>
      <family val="2"/>
    </font>
    <font>
      <b/>
      <sz val="11"/>
      <color rgb="FF0000FF"/>
      <name val="Calibri"/>
      <family val="2"/>
      <scheme val="minor"/>
    </font>
    <font>
      <b/>
      <sz val="10"/>
      <color rgb="FF0000FF"/>
      <name val="Arial"/>
      <family val="2"/>
    </font>
    <font>
      <b/>
      <u/>
      <sz val="10"/>
      <color rgb="FF0000FF"/>
      <name val="Arial"/>
      <family val="2"/>
    </font>
    <font>
      <b/>
      <sz val="11"/>
      <name val="Calibri"/>
      <family val="2"/>
      <scheme val="minor"/>
    </font>
    <font>
      <sz val="11"/>
      <name val="Calibri"/>
      <family val="2"/>
      <scheme val="minor"/>
    </font>
    <font>
      <sz val="8"/>
      <color theme="1"/>
      <name val="Calibri"/>
      <family val="2"/>
      <scheme val="minor"/>
    </font>
    <font>
      <b/>
      <sz val="10"/>
      <color rgb="FFFFFFFF"/>
      <name val="Calibri"/>
      <family val="2"/>
    </font>
    <font>
      <sz val="11"/>
      <color rgb="FF1F497D"/>
      <name val="Calibri"/>
      <family val="2"/>
    </font>
    <font>
      <b/>
      <sz val="10"/>
      <color rgb="FFFF0000"/>
      <name val="Arial"/>
      <family val="2"/>
    </font>
    <font>
      <sz val="10"/>
      <color rgb="FFFF0000"/>
      <name val="Arial"/>
      <family val="2"/>
    </font>
    <font>
      <b/>
      <sz val="13"/>
      <color rgb="FFFF0000"/>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sz val="10"/>
      <color rgb="FFFF0000"/>
      <name val="Calibri"/>
      <family val="2"/>
      <scheme val="minor"/>
    </font>
    <font>
      <b/>
      <sz val="10"/>
      <color rgb="FF0000FF"/>
      <name val="Calibri"/>
      <family val="2"/>
      <scheme val="minor"/>
    </font>
    <font>
      <sz val="10"/>
      <color rgb="FF0000FF"/>
      <name val="Calibri"/>
      <family val="2"/>
      <scheme val="minor"/>
    </font>
    <font>
      <sz val="8"/>
      <name val="Calibri"/>
      <family val="2"/>
      <scheme val="minor"/>
    </font>
    <font>
      <b/>
      <sz val="14"/>
      <color theme="1"/>
      <name val="Calibri"/>
      <family val="2"/>
      <scheme val="minor"/>
    </font>
    <font>
      <u/>
      <sz val="11"/>
      <color theme="1"/>
      <name val="Calibri"/>
      <family val="2"/>
      <scheme val="minor"/>
    </font>
    <font>
      <sz val="11"/>
      <color theme="0"/>
      <name val="Calibri"/>
      <family val="2"/>
      <scheme val="minor"/>
    </font>
    <font>
      <b/>
      <sz val="9"/>
      <name val="Arial"/>
      <family val="2"/>
    </font>
    <font>
      <b/>
      <sz val="8"/>
      <name val="Arial"/>
      <family val="2"/>
    </font>
    <font>
      <sz val="9"/>
      <color rgb="FFFF0000"/>
      <name val="Arial"/>
      <family val="2"/>
    </font>
    <font>
      <b/>
      <sz val="16"/>
      <color theme="1"/>
      <name val="Calibri"/>
      <family val="2"/>
      <scheme val="minor"/>
    </font>
    <font>
      <sz val="11"/>
      <color rgb="FF1F497D"/>
      <name val="Calibri"/>
      <family val="2"/>
      <scheme val="minor"/>
    </font>
    <font>
      <b/>
      <sz val="12"/>
      <color theme="1"/>
      <name val="Calibri"/>
      <family val="2"/>
      <scheme val="minor"/>
    </font>
    <font>
      <sz val="10"/>
      <color indexed="8"/>
      <name val="Arial"/>
      <family val="2"/>
    </font>
    <font>
      <sz val="11"/>
      <color rgb="FF002060"/>
      <name val="Calibri"/>
      <family val="2"/>
    </font>
    <font>
      <sz val="11"/>
      <color indexed="8"/>
      <name val="Calibri"/>
      <family val="2"/>
    </font>
    <font>
      <sz val="11"/>
      <color theme="1"/>
      <name val="Times New Roman"/>
      <family val="1"/>
    </font>
    <font>
      <sz val="12"/>
      <color theme="1"/>
      <name val="Times New Roman"/>
      <family val="1"/>
    </font>
    <font>
      <i/>
      <sz val="11"/>
      <color theme="1"/>
      <name val="Calibri"/>
      <family val="2"/>
      <scheme val="minor"/>
    </font>
    <font>
      <b/>
      <sz val="12"/>
      <color rgb="FFFF0000"/>
      <name val="Calibri"/>
      <family val="2"/>
      <scheme val="minor"/>
    </font>
    <font>
      <sz val="10"/>
      <name val="Calibri"/>
      <family val="2"/>
      <scheme val="minor"/>
    </font>
    <font>
      <b/>
      <i/>
      <sz val="11"/>
      <color theme="1"/>
      <name val="Calibri"/>
      <family val="2"/>
      <scheme val="minor"/>
    </font>
    <font>
      <sz val="8"/>
      <color indexed="81"/>
      <name val="Tahoma"/>
      <family val="2"/>
    </font>
    <font>
      <b/>
      <sz val="10"/>
      <name val="Calibri"/>
      <family val="2"/>
      <scheme val="minor"/>
    </font>
    <font>
      <b/>
      <sz val="13"/>
      <color indexed="56"/>
      <name val="Arial"/>
      <family val="2"/>
    </font>
    <font>
      <i/>
      <sz val="10"/>
      <color theme="1"/>
      <name val="Calibri"/>
      <family val="2"/>
      <scheme val="minor"/>
    </font>
    <font>
      <b/>
      <sz val="14"/>
      <name val="Calibri"/>
      <family val="2"/>
      <scheme val="minor"/>
    </font>
    <font>
      <b/>
      <sz val="12"/>
      <color indexed="8"/>
      <name val="Arial"/>
      <family val="2"/>
    </font>
    <font>
      <b/>
      <sz val="10"/>
      <color indexed="8"/>
      <name val="Arial"/>
      <family val="2"/>
    </font>
  </fonts>
  <fills count="2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rgb="FF00539B"/>
        <bgColor indexed="64"/>
      </patternFill>
    </fill>
    <fill>
      <patternFill patternType="solid">
        <fgColor rgb="FFC7E6A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1" tint="0.34998626667073579"/>
        <bgColor indexed="64"/>
      </patternFill>
    </fill>
    <fill>
      <patternFill patternType="solid">
        <fgColor theme="6" tint="0.39997558519241921"/>
        <bgColor indexed="64"/>
      </patternFill>
    </fill>
    <fill>
      <patternFill patternType="solid">
        <fgColor indexed="22"/>
        <bgColor indexed="0"/>
      </patternFill>
    </fill>
    <fill>
      <patternFill patternType="solid">
        <fgColor theme="0" tint="-0.24994659260841701"/>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66FF"/>
        <bgColor indexed="64"/>
      </patternFill>
    </fill>
    <fill>
      <patternFill patternType="solid">
        <fgColor theme="8" tint="0.59999389629810485"/>
        <bgColor indexed="64"/>
      </patternFill>
    </fill>
  </fills>
  <borders count="14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top/>
      <bottom style="medium">
        <color indexed="64"/>
      </bottom>
      <diagonal/>
    </border>
    <border>
      <left/>
      <right style="thin">
        <color indexed="64"/>
      </right>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right style="medium">
        <color indexed="64"/>
      </right>
      <top style="thin">
        <color indexed="64"/>
      </top>
      <bottom style="thin">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24994659260841701"/>
      </left>
      <right/>
      <top/>
      <bottom style="thin">
        <color indexed="8"/>
      </bottom>
      <diagonal/>
    </border>
    <border>
      <left/>
      <right/>
      <top/>
      <bottom style="thin">
        <color indexed="8"/>
      </bottom>
      <diagonal/>
    </border>
    <border>
      <left/>
      <right style="medium">
        <color theme="0" tint="-0.34998626667073579"/>
      </right>
      <top/>
      <bottom style="thin">
        <color indexed="8"/>
      </bottom>
      <diagonal/>
    </border>
    <border>
      <left style="medium">
        <color theme="0" tint="-0.34998626667073579"/>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theme="0" tint="-0.34998626667073579"/>
      </right>
      <top style="thin">
        <color indexed="8"/>
      </top>
      <bottom style="thin">
        <color indexed="8"/>
      </bottom>
      <diagonal/>
    </border>
    <border>
      <left style="medium">
        <color theme="0" tint="-0.34998626667073579"/>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medium">
        <color theme="0" tint="-0.34998626667073579"/>
      </right>
      <top style="thin">
        <color indexed="22"/>
      </top>
      <bottom style="thin">
        <color indexed="22"/>
      </bottom>
      <diagonal/>
    </border>
    <border>
      <left style="medium">
        <color theme="0" tint="-0.34998626667073579"/>
      </left>
      <right style="thin">
        <color theme="0" tint="-0.34998626667073579"/>
      </right>
      <top style="thin">
        <color indexed="22"/>
      </top>
      <bottom style="thin">
        <color theme="0" tint="-0.34998626667073579"/>
      </bottom>
      <diagonal/>
    </border>
    <border>
      <left style="thin">
        <color theme="0" tint="-0.34998626667073579"/>
      </left>
      <right style="thin">
        <color theme="0" tint="-0.34998626667073579"/>
      </right>
      <top style="thin">
        <color indexed="22"/>
      </top>
      <bottom style="thin">
        <color theme="0" tint="-0.34998626667073579"/>
      </bottom>
      <diagonal/>
    </border>
    <border>
      <left style="thin">
        <color theme="0" tint="-0.34998626667073579"/>
      </left>
      <right style="medium">
        <color theme="0" tint="-0.34998626667073579"/>
      </right>
      <top style="thin">
        <color indexed="22"/>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indexed="22"/>
      </bottom>
      <diagonal/>
    </border>
    <border>
      <left style="thin">
        <color theme="0" tint="-0.34998626667073579"/>
      </left>
      <right style="thin">
        <color theme="0" tint="-0.34998626667073579"/>
      </right>
      <top style="thin">
        <color theme="0" tint="-0.34998626667073579"/>
      </top>
      <bottom style="thin">
        <color indexed="22"/>
      </bottom>
      <diagonal/>
    </border>
    <border>
      <left style="thin">
        <color theme="0" tint="-0.34998626667073579"/>
      </left>
      <right style="medium">
        <color theme="0" tint="-0.34998626667073579"/>
      </right>
      <top style="thin">
        <color theme="0" tint="-0.34998626667073579"/>
      </top>
      <bottom style="thin">
        <color indexed="22"/>
      </bottom>
      <diagonal/>
    </border>
    <border>
      <left style="medium">
        <color theme="0" tint="-0.34998626667073579"/>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medium">
        <color theme="0" tint="-0.34998626667073579"/>
      </right>
      <top style="thin">
        <color indexed="22"/>
      </top>
      <bottom style="thin">
        <color indexed="64"/>
      </bottom>
      <diagonal/>
    </border>
    <border>
      <left style="medium">
        <color theme="0" tint="-0.34998626667073579"/>
      </left>
      <right style="thin">
        <color indexed="22"/>
      </right>
      <top/>
      <bottom/>
      <diagonal/>
    </border>
    <border>
      <left style="thin">
        <color indexed="22"/>
      </left>
      <right style="thin">
        <color indexed="22"/>
      </right>
      <top/>
      <bottom/>
      <diagonal/>
    </border>
    <border>
      <left style="thin">
        <color indexed="22"/>
      </left>
      <right style="medium">
        <color theme="0" tint="-0.34998626667073579"/>
      </right>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theme="0" tint="-0.34998626667073579"/>
      </right>
      <top/>
      <bottom style="thin">
        <color indexed="22"/>
      </bottom>
      <diagonal/>
    </border>
    <border>
      <left style="medium">
        <color theme="0" tint="-0.24994659260841701"/>
      </left>
      <right/>
      <top style="thin">
        <color indexed="64"/>
      </top>
      <bottom/>
      <diagonal/>
    </border>
    <border>
      <left/>
      <right style="medium">
        <color theme="0" tint="-0.24994659260841701"/>
      </right>
      <top style="thin">
        <color indexed="64"/>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thin">
        <color auto="1"/>
      </left>
      <right style="thin">
        <color auto="1"/>
      </right>
      <top/>
      <bottom style="thin">
        <color auto="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indexed="22"/>
      </left>
      <right style="thin">
        <color indexed="22"/>
      </right>
      <top style="thin">
        <color indexed="22"/>
      </top>
      <bottom style="thin">
        <color auto="1"/>
      </bottom>
      <diagonal/>
    </border>
    <border>
      <left style="thin">
        <color indexed="22"/>
      </left>
      <right style="medium">
        <color theme="0" tint="-0.34998626667073579"/>
      </right>
      <top style="thin">
        <color indexed="22"/>
      </top>
      <bottom style="thin">
        <color auto="1"/>
      </bottom>
      <diagonal/>
    </border>
    <border>
      <left style="medium">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medium">
        <color theme="0" tint="-0.34998626667073579"/>
      </right>
      <top style="thin">
        <color theme="0" tint="-0.34998626667073579"/>
      </top>
      <bottom style="thin">
        <color auto="1"/>
      </bottom>
      <diagonal/>
    </border>
    <border>
      <left style="thin">
        <color auto="1"/>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auto="1"/>
      </right>
      <top style="thin">
        <color theme="0" tint="-0.24994659260841701"/>
      </top>
      <bottom style="thin">
        <color indexed="64"/>
      </bottom>
      <diagonal/>
    </border>
    <border>
      <left style="thin">
        <color auto="1"/>
      </left>
      <right style="thin">
        <color auto="1"/>
      </right>
      <top style="thin">
        <color auto="1"/>
      </top>
      <bottom/>
      <diagonal/>
    </border>
    <border>
      <left style="thin">
        <color theme="0" tint="-0.24994659260841701"/>
      </left>
      <right style="thin">
        <color auto="1"/>
      </right>
      <top style="thin">
        <color auto="1"/>
      </top>
      <bottom/>
      <diagonal/>
    </border>
    <border>
      <left style="thin">
        <color theme="0" tint="-0.24994659260841701"/>
      </left>
      <right style="thin">
        <color auto="1"/>
      </right>
      <top/>
      <bottom/>
      <diagonal/>
    </border>
    <border>
      <left style="thin">
        <color theme="0" tint="-0.24994659260841701"/>
      </left>
      <right style="thin">
        <color auto="1"/>
      </right>
      <top/>
      <bottom style="thin">
        <color indexed="64"/>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medium">
        <color indexed="64"/>
      </left>
      <right style="medium">
        <color indexed="64"/>
      </right>
      <top style="medium">
        <color indexed="64"/>
      </top>
      <bottom style="medium">
        <color indexed="64"/>
      </bottom>
      <diagonal/>
    </border>
    <border>
      <left/>
      <right/>
      <top/>
      <bottom style="thick">
        <color indexed="2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auto="1"/>
      </bottom>
      <diagonal/>
    </border>
  </borders>
  <cellStyleXfs count="22">
    <xf numFmtId="0" fontId="0" fillId="0" borderId="0"/>
    <xf numFmtId="43" fontId="4" fillId="0" borderId="0" applyFont="0" applyFill="0" applyBorder="0" applyAlignment="0" applyProtection="0"/>
    <xf numFmtId="44" fontId="4" fillId="0" borderId="0" applyFont="0" applyFill="0" applyBorder="0" applyAlignment="0" applyProtection="0"/>
    <xf numFmtId="0" fontId="33" fillId="0" borderId="0" applyNumberFormat="0" applyFill="0" applyBorder="0" applyAlignment="0" applyProtection="0"/>
    <xf numFmtId="9" fontId="4" fillId="0" borderId="0" applyFont="0" applyFill="0" applyBorder="0" applyAlignment="0" applyProtection="0"/>
    <xf numFmtId="0" fontId="4" fillId="0" borderId="0">
      <alignment vertical="top"/>
    </xf>
    <xf numFmtId="0" fontId="3" fillId="0" borderId="0"/>
    <xf numFmtId="4" fontId="4" fillId="0" borderId="0" applyFont="0" applyFill="0" applyBorder="0" applyAlignment="0" applyProtection="0">
      <alignment vertical="top"/>
    </xf>
    <xf numFmtId="0" fontId="65" fillId="0" borderId="0"/>
    <xf numFmtId="0" fontId="65" fillId="0" borderId="0"/>
    <xf numFmtId="44" fontId="3" fillId="0" borderId="0" applyFont="0" applyFill="0" applyBorder="0" applyAlignment="0" applyProtection="0"/>
    <xf numFmtId="0" fontId="2" fillId="0" borderId="0"/>
    <xf numFmtId="44" fontId="6"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2" fillId="0" borderId="0" applyFont="0" applyFill="0" applyBorder="0" applyAlignment="0" applyProtection="0"/>
    <xf numFmtId="0" fontId="2" fillId="0" borderId="0"/>
    <xf numFmtId="0" fontId="76" fillId="0" borderId="135" applyNumberFormat="0" applyFill="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1045">
    <xf numFmtId="0" fontId="0" fillId="0" borderId="0" xfId="0"/>
    <xf numFmtId="0" fontId="5" fillId="0" borderId="0" xfId="0" applyFont="1" applyAlignment="1">
      <alignment horizontal="center"/>
    </xf>
    <xf numFmtId="0" fontId="5" fillId="0" borderId="0" xfId="0" applyFont="1" applyAlignment="1">
      <alignment horizontal="right"/>
    </xf>
    <xf numFmtId="0" fontId="0" fillId="0" borderId="0" xfId="0" applyAlignment="1">
      <alignment horizontal="center"/>
    </xf>
    <xf numFmtId="6" fontId="0" fillId="0" borderId="0" xfId="0" applyNumberFormat="1" applyAlignment="1">
      <alignment horizontal="center"/>
    </xf>
    <xf numFmtId="6" fontId="5" fillId="0" borderId="0" xfId="0" applyNumberFormat="1" applyFont="1" applyAlignment="1">
      <alignment horizontal="center"/>
    </xf>
    <xf numFmtId="6" fontId="7" fillId="0" borderId="0" xfId="0" applyNumberFormat="1" applyFont="1" applyAlignment="1">
      <alignment horizontal="center"/>
    </xf>
    <xf numFmtId="0" fontId="7" fillId="0" borderId="0" xfId="0" applyFont="1" applyAlignment="1">
      <alignment horizontal="center"/>
    </xf>
    <xf numFmtId="6" fontId="0" fillId="0" borderId="0" xfId="0" applyNumberFormat="1" applyAlignment="1">
      <alignment horizontal="left"/>
    </xf>
    <xf numFmtId="0" fontId="6" fillId="0" borderId="0" xfId="0" applyFont="1"/>
    <xf numFmtId="0" fontId="0" fillId="0" borderId="0" xfId="0" applyAlignment="1">
      <alignment horizontal="left"/>
    </xf>
    <xf numFmtId="9" fontId="0" fillId="0" borderId="0" xfId="0" applyNumberFormat="1" applyAlignment="1">
      <alignment horizontal="center"/>
    </xf>
    <xf numFmtId="172" fontId="5" fillId="0" borderId="0" xfId="0" applyNumberFormat="1" applyFont="1" applyAlignment="1">
      <alignment horizontal="center"/>
    </xf>
    <xf numFmtId="0" fontId="8" fillId="0" borderId="0" xfId="0" applyFont="1" applyAlignment="1">
      <alignment horizontal="center"/>
    </xf>
    <xf numFmtId="172" fontId="8" fillId="2" borderId="1" xfId="0" applyNumberFormat="1" applyFont="1" applyFill="1" applyBorder="1" applyAlignment="1">
      <alignment horizontal="center"/>
    </xf>
    <xf numFmtId="172" fontId="8" fillId="2" borderId="2" xfId="0" applyNumberFormat="1" applyFont="1" applyFill="1" applyBorder="1" applyAlignment="1">
      <alignment horizontal="center"/>
    </xf>
    <xf numFmtId="172" fontId="8" fillId="2" borderId="3" xfId="0" applyNumberFormat="1" applyFont="1" applyFill="1" applyBorder="1" applyAlignment="1">
      <alignment horizontal="center"/>
    </xf>
    <xf numFmtId="0" fontId="7" fillId="0" borderId="0" xfId="0" applyFont="1" applyAlignment="1">
      <alignment horizontal="left"/>
    </xf>
    <xf numFmtId="0" fontId="0" fillId="0" borderId="0" xfId="0" applyBorder="1"/>
    <xf numFmtId="164" fontId="6" fillId="0" borderId="0" xfId="2" applyNumberFormat="1" applyFont="1"/>
    <xf numFmtId="165" fontId="4" fillId="0" borderId="0" xfId="2" applyNumberFormat="1" applyFont="1"/>
    <xf numFmtId="0" fontId="13" fillId="0" borderId="0" xfId="0" applyFont="1"/>
    <xf numFmtId="0" fontId="5" fillId="0" borderId="4" xfId="0" applyFont="1" applyFill="1" applyBorder="1" applyAlignment="1">
      <alignment horizontal="center"/>
    </xf>
    <xf numFmtId="10" fontId="5" fillId="0" borderId="5" xfId="0" applyNumberFormat="1" applyFont="1" applyFill="1" applyBorder="1" applyAlignment="1">
      <alignment horizontal="center"/>
    </xf>
    <xf numFmtId="0" fontId="5" fillId="0" borderId="6" xfId="0" applyFont="1" applyFill="1" applyBorder="1" applyAlignment="1">
      <alignment horizontal="center"/>
    </xf>
    <xf numFmtId="6" fontId="5" fillId="0" borderId="7" xfId="0" applyNumberFormat="1" applyFont="1" applyFill="1" applyBorder="1" applyAlignment="1">
      <alignment horizontal="center"/>
    </xf>
    <xf numFmtId="0" fontId="5" fillId="0" borderId="8" xfId="0" applyFont="1" applyFill="1" applyBorder="1" applyAlignment="1">
      <alignment horizontal="center"/>
    </xf>
    <xf numFmtId="40" fontId="5" fillId="0" borderId="9" xfId="0" applyNumberFormat="1" applyFont="1" applyFill="1" applyBorder="1" applyAlignment="1">
      <alignment horizontal="center"/>
    </xf>
    <xf numFmtId="8" fontId="0" fillId="0" borderId="0" xfId="0" applyNumberFormat="1" applyAlignment="1">
      <alignment horizontal="center"/>
    </xf>
    <xf numFmtId="38" fontId="6" fillId="0" borderId="0" xfId="1" applyNumberFormat="1" applyFont="1" applyFill="1" applyBorder="1"/>
    <xf numFmtId="0" fontId="5" fillId="0" borderId="0" xfId="0" applyFont="1" applyFill="1" applyBorder="1" applyAlignment="1">
      <alignment horizontal="center"/>
    </xf>
    <xf numFmtId="0" fontId="0" fillId="0" borderId="0" xfId="0" applyFill="1" applyBorder="1"/>
    <xf numFmtId="0" fontId="8" fillId="0" borderId="0" xfId="0" applyFont="1" applyFill="1" applyBorder="1"/>
    <xf numFmtId="165" fontId="8" fillId="0" borderId="0" xfId="2" applyNumberFormat="1" applyFont="1" applyFill="1" applyBorder="1"/>
    <xf numFmtId="167" fontId="0" fillId="0" borderId="0" xfId="1" applyNumberFormat="1" applyFont="1" applyFill="1" applyBorder="1"/>
    <xf numFmtId="9" fontId="8" fillId="0" borderId="0" xfId="4" applyFont="1" applyFill="1" applyBorder="1"/>
    <xf numFmtId="166" fontId="0" fillId="0" borderId="0" xfId="1" applyNumberFormat="1" applyFont="1" applyFill="1" applyBorder="1"/>
    <xf numFmtId="164" fontId="6" fillId="0" borderId="0" xfId="2" applyNumberFormat="1" applyFont="1" applyFill="1" applyBorder="1"/>
    <xf numFmtId="168" fontId="8" fillId="0" borderId="0" xfId="1" applyNumberFormat="1" applyFont="1" applyFill="1" applyBorder="1"/>
    <xf numFmtId="6" fontId="0" fillId="0" borderId="0" xfId="2" applyNumberFormat="1" applyFont="1" applyFill="1" applyBorder="1"/>
    <xf numFmtId="44" fontId="5" fillId="0" borderId="0" xfId="2" applyFont="1" applyFill="1" applyBorder="1"/>
    <xf numFmtId="167" fontId="8" fillId="0" borderId="0" xfId="1" applyNumberFormat="1" applyFont="1" applyFill="1" applyBorder="1"/>
    <xf numFmtId="9" fontId="0" fillId="0" borderId="0" xfId="0" applyNumberFormat="1" applyFill="1" applyBorder="1"/>
    <xf numFmtId="0" fontId="13" fillId="0" borderId="0" xfId="0" applyFont="1" applyFill="1" applyBorder="1"/>
    <xf numFmtId="38" fontId="8" fillId="0" borderId="0" xfId="1" applyNumberFormat="1" applyFont="1" applyFill="1" applyBorder="1"/>
    <xf numFmtId="38" fontId="0" fillId="0" borderId="0" xfId="1" applyNumberFormat="1" applyFont="1" applyFill="1" applyBorder="1"/>
    <xf numFmtId="2" fontId="8" fillId="0" borderId="0" xfId="0" applyNumberFormat="1" applyFont="1" applyFill="1" applyBorder="1"/>
    <xf numFmtId="6" fontId="5" fillId="0" borderId="0" xfId="0" applyNumberFormat="1" applyFont="1" applyFill="1" applyBorder="1"/>
    <xf numFmtId="8" fontId="15" fillId="0" borderId="0" xfId="2" applyNumberFormat="1" applyFont="1" applyFill="1" applyBorder="1"/>
    <xf numFmtId="6" fontId="15" fillId="0" borderId="0" xfId="0" applyNumberFormat="1" applyFont="1" applyFill="1" applyBorder="1"/>
    <xf numFmtId="8" fontId="0" fillId="0" borderId="0" xfId="0" applyNumberFormat="1" applyFill="1" applyBorder="1"/>
    <xf numFmtId="8" fontId="5" fillId="0" borderId="0" xfId="0" applyNumberFormat="1" applyFont="1" applyFill="1" applyBorder="1"/>
    <xf numFmtId="6" fontId="4" fillId="0" borderId="0" xfId="0" applyNumberFormat="1" applyFont="1" applyAlignment="1">
      <alignment horizontal="center"/>
    </xf>
    <xf numFmtId="6" fontId="4" fillId="0" borderId="0" xfId="2" applyNumberFormat="1" applyFont="1" applyAlignment="1">
      <alignment horizontal="center"/>
    </xf>
    <xf numFmtId="6" fontId="4" fillId="0" borderId="0" xfId="0" applyNumberFormat="1" applyFont="1" applyFill="1" applyAlignment="1">
      <alignment horizontal="center"/>
    </xf>
    <xf numFmtId="0" fontId="4" fillId="0" borderId="0" xfId="0" applyFont="1" applyAlignment="1">
      <alignment horizontal="center"/>
    </xf>
    <xf numFmtId="0" fontId="4" fillId="0" borderId="0" xfId="0" applyFont="1"/>
    <xf numFmtId="40" fontId="4" fillId="0" borderId="0" xfId="0" applyNumberFormat="1" applyFont="1" applyAlignment="1">
      <alignment horizontal="center"/>
    </xf>
    <xf numFmtId="6" fontId="5" fillId="0" borderId="0" xfId="0" applyNumberFormat="1" applyFont="1" applyBorder="1" applyAlignment="1">
      <alignment horizontal="left"/>
    </xf>
    <xf numFmtId="6" fontId="0" fillId="0" borderId="0" xfId="0" applyNumberFormat="1" applyBorder="1" applyAlignment="1">
      <alignment horizontal="center"/>
    </xf>
    <xf numFmtId="0" fontId="0" fillId="0" borderId="10" xfId="0" applyBorder="1"/>
    <xf numFmtId="0" fontId="0" fillId="0" borderId="11" xfId="0" applyBorder="1"/>
    <xf numFmtId="0" fontId="5" fillId="0" borderId="10" xfId="0" applyFont="1" applyBorder="1"/>
    <xf numFmtId="165" fontId="0" fillId="0" borderId="11" xfId="2" applyNumberFormat="1" applyFont="1" applyBorder="1"/>
    <xf numFmtId="8" fontId="5" fillId="0" borderId="10" xfId="0" applyNumberFormat="1" applyFont="1" applyBorder="1"/>
    <xf numFmtId="0" fontId="11" fillId="0" borderId="10" xfId="0" applyFont="1" applyBorder="1"/>
    <xf numFmtId="0" fontId="9" fillId="0" borderId="10" xfId="0" applyFont="1" applyBorder="1"/>
    <xf numFmtId="0" fontId="7" fillId="0" borderId="10" xfId="0" applyFont="1" applyBorder="1"/>
    <xf numFmtId="6" fontId="5" fillId="0" borderId="11" xfId="2" applyNumberFormat="1" applyFont="1" applyFill="1" applyBorder="1"/>
    <xf numFmtId="0" fontId="6" fillId="0" borderId="10" xfId="0" applyFont="1" applyBorder="1" applyAlignment="1">
      <alignment horizontal="right"/>
    </xf>
    <xf numFmtId="166" fontId="0" fillId="0" borderId="11" xfId="1" applyNumberFormat="1" applyFont="1" applyBorder="1"/>
    <xf numFmtId="164" fontId="8" fillId="0" borderId="11" xfId="2" applyNumberFormat="1" applyFont="1" applyBorder="1"/>
    <xf numFmtId="0" fontId="0" fillId="0" borderId="10" xfId="0" applyBorder="1" applyAlignment="1">
      <alignment horizontal="right"/>
    </xf>
    <xf numFmtId="168" fontId="0" fillId="0" borderId="11" xfId="1" applyNumberFormat="1" applyFont="1" applyBorder="1"/>
    <xf numFmtId="6" fontId="0" fillId="0" borderId="11" xfId="2" applyNumberFormat="1" applyFont="1" applyBorder="1"/>
    <xf numFmtId="169" fontId="0" fillId="0" borderId="11" xfId="2" applyNumberFormat="1" applyFont="1" applyBorder="1"/>
    <xf numFmtId="0" fontId="14" fillId="0" borderId="10" xfId="0" applyFont="1" applyBorder="1"/>
    <xf numFmtId="0" fontId="13" fillId="0" borderId="11" xfId="0" applyFont="1" applyBorder="1"/>
    <xf numFmtId="169" fontId="0" fillId="0" borderId="11" xfId="1" applyNumberFormat="1" applyFont="1" applyBorder="1"/>
    <xf numFmtId="0" fontId="6" fillId="0" borderId="10" xfId="0" applyFont="1" applyBorder="1"/>
    <xf numFmtId="8" fontId="0" fillId="0" borderId="11" xfId="0" applyNumberFormat="1" applyBorder="1"/>
    <xf numFmtId="0" fontId="13" fillId="0" borderId="12" xfId="0" applyFont="1" applyFill="1" applyBorder="1"/>
    <xf numFmtId="38" fontId="6" fillId="0" borderId="12" xfId="1" applyNumberFormat="1" applyFont="1" applyFill="1" applyBorder="1"/>
    <xf numFmtId="0" fontId="6" fillId="0" borderId="12" xfId="0" applyFont="1" applyFill="1" applyBorder="1"/>
    <xf numFmtId="166" fontId="6" fillId="0" borderId="12" xfId="1" applyNumberFormat="1" applyFont="1" applyFill="1" applyBorder="1"/>
    <xf numFmtId="167" fontId="6" fillId="0" borderId="12" xfId="1" applyNumberFormat="1" applyFont="1" applyFill="1" applyBorder="1"/>
    <xf numFmtId="6" fontId="6" fillId="0" borderId="12" xfId="2" applyNumberFormat="1" applyFont="1" applyFill="1" applyBorder="1"/>
    <xf numFmtId="44" fontId="6" fillId="0" borderId="12" xfId="2" applyFont="1" applyFill="1" applyBorder="1"/>
    <xf numFmtId="6" fontId="6" fillId="0" borderId="12" xfId="0" applyNumberFormat="1" applyFont="1" applyFill="1" applyBorder="1"/>
    <xf numFmtId="8" fontId="6" fillId="0" borderId="12" xfId="0" applyNumberFormat="1" applyFont="1" applyFill="1" applyBorder="1"/>
    <xf numFmtId="9" fontId="6" fillId="0" borderId="12" xfId="0" applyNumberFormat="1" applyFont="1" applyFill="1" applyBorder="1"/>
    <xf numFmtId="8" fontId="6" fillId="0" borderId="13" xfId="0" applyNumberFormat="1" applyFont="1" applyFill="1" applyBorder="1"/>
    <xf numFmtId="8" fontId="6" fillId="0" borderId="12" xfId="2" applyNumberFormat="1" applyFont="1" applyFill="1" applyBorder="1"/>
    <xf numFmtId="0" fontId="0" fillId="0" borderId="14" xfId="0" applyBorder="1"/>
    <xf numFmtId="0" fontId="0" fillId="0" borderId="15" xfId="0" applyBorder="1"/>
    <xf numFmtId="0" fontId="6" fillId="0" borderId="16" xfId="0" applyFont="1" applyFill="1" applyBorder="1"/>
    <xf numFmtId="0" fontId="5" fillId="0" borderId="17" xfId="0" applyFont="1" applyBorder="1"/>
    <xf numFmtId="0" fontId="5" fillId="0" borderId="19" xfId="0" applyFont="1" applyFill="1" applyBorder="1" applyAlignment="1">
      <alignment horizontal="center"/>
    </xf>
    <xf numFmtId="0" fontId="5" fillId="0" borderId="20" xfId="0" applyFont="1" applyBorder="1" applyAlignment="1">
      <alignment horizontal="left"/>
    </xf>
    <xf numFmtId="8" fontId="0" fillId="0" borderId="0" xfId="0" applyNumberFormat="1" applyFill="1" applyAlignment="1">
      <alignment horizontal="center"/>
    </xf>
    <xf numFmtId="0" fontId="0" fillId="0" borderId="0" xfId="0" applyFill="1"/>
    <xf numFmtId="0" fontId="0" fillId="0" borderId="21" xfId="0" applyBorder="1"/>
    <xf numFmtId="9" fontId="36" fillId="0" borderId="22" xfId="0" applyNumberFormat="1" applyFont="1" applyBorder="1"/>
    <xf numFmtId="9" fontId="37" fillId="0" borderId="0" xfId="0" applyNumberFormat="1" applyFont="1" applyBorder="1"/>
    <xf numFmtId="167" fontId="36" fillId="0" borderId="22" xfId="1" applyNumberFormat="1" applyFont="1" applyBorder="1"/>
    <xf numFmtId="44" fontId="36" fillId="0" borderId="22" xfId="2" applyFont="1" applyBorder="1"/>
    <xf numFmtId="44" fontId="36" fillId="0" borderId="22" xfId="0" applyNumberFormat="1" applyFont="1" applyBorder="1"/>
    <xf numFmtId="44" fontId="38" fillId="0" borderId="22" xfId="0" applyNumberFormat="1" applyFont="1" applyBorder="1"/>
    <xf numFmtId="0" fontId="39" fillId="0" borderId="10" xfId="0" applyFont="1" applyBorder="1"/>
    <xf numFmtId="0" fontId="40" fillId="0" borderId="10" xfId="0" applyFont="1" applyBorder="1"/>
    <xf numFmtId="0" fontId="39" fillId="0" borderId="10" xfId="0" applyFont="1" applyBorder="1" applyAlignment="1">
      <alignment horizontal="left"/>
    </xf>
    <xf numFmtId="0" fontId="39" fillId="0" borderId="23" xfId="0" applyFont="1" applyBorder="1"/>
    <xf numFmtId="38" fontId="17" fillId="3" borderId="0" xfId="1" applyNumberFormat="1" applyFont="1" applyFill="1" applyBorder="1"/>
    <xf numFmtId="0" fontId="37" fillId="0" borderId="10" xfId="0" applyFont="1" applyBorder="1" applyAlignment="1">
      <alignment horizontal="right"/>
    </xf>
    <xf numFmtId="0" fontId="37" fillId="0" borderId="10" xfId="0" applyFont="1" applyBorder="1"/>
    <xf numFmtId="8" fontId="36" fillId="0" borderId="22" xfId="0" applyNumberFormat="1" applyFont="1" applyBorder="1" applyAlignment="1">
      <alignment horizontal="right"/>
    </xf>
    <xf numFmtId="0" fontId="0" fillId="0" borderId="24" xfId="0" applyBorder="1"/>
    <xf numFmtId="0" fontId="0" fillId="0" borderId="25" xfId="0" applyBorder="1"/>
    <xf numFmtId="0" fontId="37" fillId="0" borderId="24" xfId="0" applyFont="1" applyBorder="1" applyAlignment="1">
      <alignment horizontal="right"/>
    </xf>
    <xf numFmtId="38" fontId="6" fillId="3" borderId="26" xfId="1" applyNumberFormat="1" applyFont="1" applyFill="1" applyBorder="1"/>
    <xf numFmtId="37" fontId="6" fillId="0" borderId="25" xfId="1" applyNumberFormat="1" applyFont="1" applyFill="1" applyBorder="1"/>
    <xf numFmtId="0" fontId="34" fillId="0" borderId="0" xfId="0" applyFont="1"/>
    <xf numFmtId="0" fontId="0" fillId="6" borderId="0" xfId="0" applyFill="1"/>
    <xf numFmtId="9" fontId="0" fillId="0" borderId="0" xfId="0" applyNumberFormat="1"/>
    <xf numFmtId="0" fontId="0" fillId="3" borderId="0" xfId="0" applyFill="1"/>
    <xf numFmtId="165" fontId="36" fillId="0" borderId="22" xfId="2" applyNumberFormat="1" applyFont="1" applyBorder="1"/>
    <xf numFmtId="0" fontId="0" fillId="0" borderId="22" xfId="0" applyBorder="1"/>
    <xf numFmtId="0" fontId="10" fillId="0" borderId="0" xfId="0" applyFont="1" applyBorder="1" applyAlignment="1">
      <alignment horizontal="left"/>
    </xf>
    <xf numFmtId="8" fontId="36" fillId="0" borderId="0" xfId="0" applyNumberFormat="1" applyFont="1" applyBorder="1" applyAlignment="1">
      <alignment horizontal="right"/>
    </xf>
    <xf numFmtId="6" fontId="6" fillId="0" borderId="0" xfId="0" applyNumberFormat="1" applyFont="1" applyFill="1" applyBorder="1"/>
    <xf numFmtId="0" fontId="20" fillId="0" borderId="0" xfId="0" applyFont="1" applyAlignment="1">
      <alignment horizontal="center"/>
    </xf>
    <xf numFmtId="0" fontId="20" fillId="0" borderId="0" xfId="0" applyFont="1"/>
    <xf numFmtId="0" fontId="43" fillId="0" borderId="0" xfId="0" applyFont="1" applyAlignment="1">
      <alignment horizontal="center"/>
    </xf>
    <xf numFmtId="0" fontId="43" fillId="0" borderId="0" xfId="0" applyFont="1" applyAlignment="1">
      <alignment horizontal="center" wrapText="1"/>
    </xf>
    <xf numFmtId="0" fontId="0" fillId="3" borderId="27" xfId="0" applyFill="1" applyBorder="1"/>
    <xf numFmtId="0" fontId="0" fillId="3" borderId="28" xfId="0" applyFill="1" applyBorder="1"/>
    <xf numFmtId="0" fontId="0" fillId="9" borderId="27" xfId="0" applyFill="1" applyBorder="1"/>
    <xf numFmtId="0" fontId="0" fillId="9" borderId="29" xfId="0" applyFill="1" applyBorder="1"/>
    <xf numFmtId="0" fontId="0" fillId="9" borderId="28" xfId="0" applyFill="1" applyBorder="1"/>
    <xf numFmtId="0" fontId="0" fillId="3" borderId="30" xfId="0" applyFill="1" applyBorder="1"/>
    <xf numFmtId="0" fontId="0" fillId="3" borderId="31" xfId="0" applyFill="1" applyBorder="1"/>
    <xf numFmtId="0" fontId="0" fillId="9" borderId="30" xfId="0" applyFill="1" applyBorder="1"/>
    <xf numFmtId="0" fontId="0" fillId="9" borderId="32" xfId="0" applyFill="1" applyBorder="1"/>
    <xf numFmtId="0" fontId="0" fillId="9" borderId="31" xfId="0" applyFill="1" applyBorder="1"/>
    <xf numFmtId="0" fontId="34" fillId="0" borderId="0" xfId="0" applyFont="1" applyAlignment="1">
      <alignment horizontal="right"/>
    </xf>
    <xf numFmtId="167" fontId="34" fillId="0" borderId="0" xfId="1" applyNumberFormat="1" applyFont="1" applyAlignment="1">
      <alignment horizontal="center"/>
    </xf>
    <xf numFmtId="167" fontId="0" fillId="0" borderId="0" xfId="0" applyNumberFormat="1"/>
    <xf numFmtId="167" fontId="5" fillId="0" borderId="0" xfId="0" applyNumberFormat="1" applyFont="1"/>
    <xf numFmtId="43" fontId="0" fillId="0" borderId="0" xfId="1" applyFont="1"/>
    <xf numFmtId="43" fontId="17" fillId="3" borderId="33" xfId="1" applyFont="1" applyFill="1" applyBorder="1"/>
    <xf numFmtId="43" fontId="0" fillId="0" borderId="33" xfId="1" applyFont="1" applyBorder="1"/>
    <xf numFmtId="43" fontId="17" fillId="3" borderId="34" xfId="1" applyFont="1" applyFill="1" applyBorder="1"/>
    <xf numFmtId="43" fontId="0" fillId="0" borderId="34" xfId="1" applyFont="1" applyBorder="1"/>
    <xf numFmtId="43" fontId="17" fillId="3" borderId="35" xfId="1" applyFont="1" applyFill="1" applyBorder="1"/>
    <xf numFmtId="43" fontId="0" fillId="0" borderId="35" xfId="1" applyFont="1" applyBorder="1"/>
    <xf numFmtId="43" fontId="17" fillId="9" borderId="36" xfId="1" applyFont="1" applyFill="1" applyBorder="1"/>
    <xf numFmtId="43" fontId="17" fillId="9" borderId="37" xfId="1" applyFont="1" applyFill="1" applyBorder="1"/>
    <xf numFmtId="3" fontId="0" fillId="0" borderId="0" xfId="0" applyNumberFormat="1"/>
    <xf numFmtId="0" fontId="0" fillId="0" borderId="4" xfId="0" applyBorder="1" applyAlignment="1">
      <alignment horizontal="center"/>
    </xf>
    <xf numFmtId="0" fontId="0" fillId="0" borderId="5" xfId="0" applyBorder="1"/>
    <xf numFmtId="0" fontId="0" fillId="0" borderId="6" xfId="0" applyBorder="1" applyAlignment="1">
      <alignment horizontal="center"/>
    </xf>
    <xf numFmtId="3" fontId="0" fillId="0" borderId="38" xfId="0" applyNumberFormat="1" applyBorder="1"/>
    <xf numFmtId="3" fontId="0" fillId="0" borderId="39" xfId="0" applyNumberFormat="1" applyBorder="1"/>
    <xf numFmtId="0" fontId="0" fillId="0" borderId="5" xfId="0" applyBorder="1" applyAlignment="1">
      <alignment horizontal="center"/>
    </xf>
    <xf numFmtId="0" fontId="0" fillId="0" borderId="7" xfId="0" applyBorder="1" applyAlignment="1">
      <alignment horizontal="center"/>
    </xf>
    <xf numFmtId="0" fontId="6" fillId="0" borderId="40" xfId="0" applyFont="1" applyBorder="1" applyAlignment="1">
      <alignment horizontal="center"/>
    </xf>
    <xf numFmtId="0" fontId="6" fillId="0" borderId="41" xfId="0" applyFont="1"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3" fontId="0" fillId="0" borderId="43" xfId="0" applyNumberFormat="1" applyBorder="1" applyAlignment="1">
      <alignment horizontal="center"/>
    </xf>
    <xf numFmtId="0" fontId="6" fillId="0" borderId="44" xfId="0" applyFont="1" applyBorder="1" applyAlignment="1">
      <alignment horizontal="center"/>
    </xf>
    <xf numFmtId="3" fontId="22" fillId="0" borderId="38" xfId="0" applyNumberFormat="1" applyFont="1" applyBorder="1"/>
    <xf numFmtId="3" fontId="22" fillId="0" borderId="39" xfId="0" applyNumberFormat="1" applyFont="1" applyBorder="1"/>
    <xf numFmtId="0" fontId="37" fillId="0" borderId="0" xfId="0" applyFont="1"/>
    <xf numFmtId="0" fontId="6" fillId="0" borderId="0" xfId="0" applyFont="1" applyAlignment="1">
      <alignment horizontal="right"/>
    </xf>
    <xf numFmtId="3" fontId="22" fillId="0" borderId="45" xfId="0" applyNumberFormat="1" applyFont="1" applyBorder="1"/>
    <xf numFmtId="0" fontId="6" fillId="0" borderId="46" xfId="0" applyFont="1" applyBorder="1" applyAlignment="1">
      <alignment horizontal="center"/>
    </xf>
    <xf numFmtId="3" fontId="22" fillId="0" borderId="47" xfId="0" applyNumberFormat="1" applyFont="1" applyBorder="1"/>
    <xf numFmtId="0" fontId="6" fillId="0" borderId="48" xfId="0" applyFont="1" applyBorder="1" applyAlignment="1">
      <alignment horizontal="center"/>
    </xf>
    <xf numFmtId="3" fontId="22" fillId="0" borderId="49" xfId="0" applyNumberFormat="1" applyFont="1" applyBorder="1"/>
    <xf numFmtId="0" fontId="6" fillId="0" borderId="50" xfId="0" applyFont="1" applyBorder="1" applyAlignment="1">
      <alignment horizontal="center"/>
    </xf>
    <xf numFmtId="0" fontId="0" fillId="0" borderId="9" xfId="0" applyBorder="1"/>
    <xf numFmtId="3" fontId="0" fillId="0" borderId="7" xfId="0" applyNumberFormat="1" applyBorder="1"/>
    <xf numFmtId="0" fontId="0" fillId="0" borderId="51" xfId="0" applyBorder="1" applyAlignment="1">
      <alignment horizontal="center"/>
    </xf>
    <xf numFmtId="0" fontId="0" fillId="0" borderId="0" xfId="0" applyBorder="1" applyAlignment="1">
      <alignment horizontal="center"/>
    </xf>
    <xf numFmtId="0" fontId="6" fillId="0" borderId="52" xfId="0" applyFont="1" applyBorder="1" applyAlignment="1">
      <alignment horizontal="center"/>
    </xf>
    <xf numFmtId="0" fontId="6" fillId="0" borderId="53" xfId="0" applyFont="1" applyBorder="1" applyAlignment="1">
      <alignment horizontal="center"/>
    </xf>
    <xf numFmtId="3" fontId="6" fillId="0" borderId="29" xfId="0" applyNumberFormat="1" applyFont="1" applyBorder="1" applyAlignment="1">
      <alignment horizontal="center"/>
    </xf>
    <xf numFmtId="3" fontId="0" fillId="0" borderId="7" xfId="0" applyNumberFormat="1" applyBorder="1" applyAlignment="1">
      <alignment horizontal="center"/>
    </xf>
    <xf numFmtId="3" fontId="6" fillId="0" borderId="52" xfId="0" applyNumberFormat="1" applyFont="1" applyBorder="1" applyAlignment="1">
      <alignment horizontal="center"/>
    </xf>
    <xf numFmtId="2" fontId="0" fillId="0" borderId="0" xfId="0" applyNumberFormat="1"/>
    <xf numFmtId="0" fontId="5" fillId="0" borderId="0" xfId="0" applyFont="1"/>
    <xf numFmtId="0" fontId="5" fillId="0" borderId="1" xfId="0" applyFont="1" applyBorder="1"/>
    <xf numFmtId="0" fontId="5" fillId="0" borderId="2" xfId="0" applyFont="1" applyBorder="1"/>
    <xf numFmtId="0" fontId="5" fillId="0" borderId="3" xfId="0" applyFont="1" applyBorder="1"/>
    <xf numFmtId="0" fontId="36" fillId="0" borderId="0" xfId="0" applyFont="1" applyBorder="1"/>
    <xf numFmtId="0" fontId="24" fillId="0" borderId="0" xfId="0" applyFont="1" applyAlignment="1">
      <alignment vertical="center"/>
    </xf>
    <xf numFmtId="0" fontId="25" fillId="0" borderId="53" xfId="0" applyFont="1" applyBorder="1" applyAlignment="1">
      <alignment vertical="center"/>
    </xf>
    <xf numFmtId="0" fontId="44" fillId="10" borderId="5" xfId="0" applyFont="1" applyFill="1" applyBorder="1" applyAlignment="1">
      <alignment horizontal="center" vertical="center"/>
    </xf>
    <xf numFmtId="6" fontId="6" fillId="0" borderId="0" xfId="0" applyNumberFormat="1" applyFont="1" applyBorder="1" applyAlignment="1">
      <alignment horizontal="left" vertical="center"/>
    </xf>
    <xf numFmtId="0" fontId="45" fillId="0" borderId="0" xfId="0" applyFont="1" applyAlignment="1">
      <alignment vertical="center"/>
    </xf>
    <xf numFmtId="6" fontId="5" fillId="3" borderId="0" xfId="0" applyNumberFormat="1" applyFont="1" applyFill="1" applyBorder="1" applyAlignment="1">
      <alignment horizontal="left" vertical="center"/>
    </xf>
    <xf numFmtId="0" fontId="25" fillId="3" borderId="53" xfId="0" applyFont="1" applyFill="1" applyBorder="1" applyAlignment="1">
      <alignment vertical="center"/>
    </xf>
    <xf numFmtId="0" fontId="37" fillId="0" borderId="12" xfId="0" applyFont="1" applyFill="1" applyBorder="1"/>
    <xf numFmtId="165" fontId="0" fillId="0" borderId="0" xfId="2" applyNumberFormat="1" applyFont="1"/>
    <xf numFmtId="165" fontId="5" fillId="0" borderId="0" xfId="2" applyNumberFormat="1" applyFont="1"/>
    <xf numFmtId="9" fontId="0" fillId="0" borderId="0" xfId="4" applyFont="1"/>
    <xf numFmtId="165" fontId="0" fillId="0" borderId="0" xfId="0" applyNumberFormat="1"/>
    <xf numFmtId="1" fontId="37" fillId="0" borderId="11" xfId="0" applyNumberFormat="1" applyFont="1" applyBorder="1"/>
    <xf numFmtId="173" fontId="37" fillId="0" borderId="11" xfId="0" applyNumberFormat="1" applyFont="1" applyBorder="1"/>
    <xf numFmtId="173" fontId="37" fillId="0" borderId="0" xfId="0" applyNumberFormat="1" applyFont="1" applyFill="1" applyBorder="1"/>
    <xf numFmtId="0" fontId="33" fillId="0" borderId="0" xfId="3" applyFill="1" applyBorder="1"/>
    <xf numFmtId="10" fontId="37" fillId="0" borderId="11" xfId="0" applyNumberFormat="1" applyFont="1" applyBorder="1"/>
    <xf numFmtId="0" fontId="6" fillId="0" borderId="27" xfId="0" applyFont="1" applyBorder="1"/>
    <xf numFmtId="0" fontId="0" fillId="0" borderId="28" xfId="0" applyBorder="1"/>
    <xf numFmtId="0" fontId="0" fillId="0" borderId="23" xfId="0" applyBorder="1"/>
    <xf numFmtId="0" fontId="0" fillId="0" borderId="54" xfId="0" applyBorder="1"/>
    <xf numFmtId="9" fontId="0" fillId="0" borderId="23" xfId="0" applyNumberFormat="1" applyBorder="1"/>
    <xf numFmtId="44" fontId="37" fillId="0" borderId="31" xfId="2" applyFont="1" applyBorder="1"/>
    <xf numFmtId="0" fontId="6" fillId="0" borderId="30" xfId="0" applyFont="1" applyBorder="1"/>
    <xf numFmtId="173" fontId="37" fillId="0" borderId="11" xfId="0" applyNumberFormat="1" applyFont="1" applyFill="1" applyBorder="1"/>
    <xf numFmtId="0" fontId="37" fillId="0" borderId="0" xfId="0" applyFont="1" applyBorder="1"/>
    <xf numFmtId="8" fontId="46" fillId="0" borderId="11" xfId="2" applyNumberFormat="1" applyFont="1" applyFill="1" applyBorder="1"/>
    <xf numFmtId="7" fontId="47" fillId="0" borderId="55" xfId="0" applyNumberFormat="1" applyFont="1" applyFill="1" applyBorder="1"/>
    <xf numFmtId="7" fontId="37" fillId="0" borderId="56" xfId="0" applyNumberFormat="1" applyFont="1" applyFill="1" applyBorder="1"/>
    <xf numFmtId="8" fontId="39" fillId="0" borderId="11" xfId="2" applyNumberFormat="1" applyFont="1" applyFill="1" applyBorder="1"/>
    <xf numFmtId="172" fontId="0" fillId="0" borderId="0" xfId="0" applyNumberFormat="1"/>
    <xf numFmtId="168" fontId="37" fillId="0" borderId="12" xfId="1" applyNumberFormat="1" applyFont="1" applyFill="1" applyBorder="1"/>
    <xf numFmtId="0" fontId="0" fillId="0" borderId="37" xfId="0" applyBorder="1" applyAlignment="1">
      <alignment horizontal="center"/>
    </xf>
    <xf numFmtId="0" fontId="0" fillId="0" borderId="52" xfId="0" applyBorder="1"/>
    <xf numFmtId="0" fontId="0" fillId="0" borderId="36" xfId="0" applyBorder="1"/>
    <xf numFmtId="0" fontId="0" fillId="0" borderId="33" xfId="0" applyBorder="1"/>
    <xf numFmtId="0" fontId="0" fillId="0" borderId="34" xfId="0" applyBorder="1" applyAlignment="1">
      <alignment horizontal="center"/>
    </xf>
    <xf numFmtId="0" fontId="0" fillId="0" borderId="35" xfId="0" applyBorder="1" applyAlignment="1">
      <alignment horizontal="center"/>
    </xf>
    <xf numFmtId="0" fontId="0" fillId="0" borderId="33" xfId="0" applyBorder="1" applyAlignment="1">
      <alignment horizontal="center"/>
    </xf>
    <xf numFmtId="3" fontId="0" fillId="0" borderId="22" xfId="0" applyNumberFormat="1" applyBorder="1" applyAlignment="1">
      <alignment horizontal="center"/>
    </xf>
    <xf numFmtId="0" fontId="0" fillId="0" borderId="34" xfId="0" applyFill="1" applyBorder="1" applyAlignment="1">
      <alignment horizontal="center"/>
    </xf>
    <xf numFmtId="0" fontId="0" fillId="0" borderId="33" xfId="0" applyFill="1" applyBorder="1" applyAlignment="1">
      <alignment horizontal="center"/>
    </xf>
    <xf numFmtId="0" fontId="0" fillId="0" borderId="35" xfId="0" applyFill="1" applyBorder="1" applyAlignment="1">
      <alignment horizontal="center"/>
    </xf>
    <xf numFmtId="3" fontId="0" fillId="0" borderId="22" xfId="0" applyNumberFormat="1" applyFill="1" applyBorder="1" applyAlignment="1">
      <alignment horizontal="center"/>
    </xf>
    <xf numFmtId="3" fontId="5" fillId="0" borderId="22" xfId="0" applyNumberFormat="1" applyFont="1" applyBorder="1" applyAlignment="1">
      <alignment horizontal="center"/>
    </xf>
    <xf numFmtId="3" fontId="5" fillId="0" borderId="36" xfId="0" applyNumberFormat="1" applyFont="1" applyBorder="1" applyAlignment="1">
      <alignment horizontal="center"/>
    </xf>
    <xf numFmtId="165" fontId="37" fillId="0" borderId="22" xfId="0" applyNumberFormat="1" applyFont="1" applyBorder="1"/>
    <xf numFmtId="9" fontId="6" fillId="0" borderId="0" xfId="4" applyFont="1"/>
    <xf numFmtId="3" fontId="5" fillId="3" borderId="22" xfId="0" applyNumberFormat="1" applyFont="1" applyFill="1" applyBorder="1" applyAlignment="1">
      <alignment horizontal="center"/>
    </xf>
    <xf numFmtId="0" fontId="5" fillId="3" borderId="0" xfId="0" applyFont="1" applyFill="1" applyAlignment="1">
      <alignment horizontal="right"/>
    </xf>
    <xf numFmtId="6" fontId="4" fillId="0" borderId="32" xfId="0" applyNumberFormat="1" applyFont="1" applyBorder="1" applyAlignment="1">
      <alignment horizontal="center"/>
    </xf>
    <xf numFmtId="6" fontId="4" fillId="0" borderId="32" xfId="2" applyNumberFormat="1" applyFont="1" applyBorder="1" applyAlignment="1">
      <alignment horizontal="center"/>
    </xf>
    <xf numFmtId="165" fontId="4" fillId="0" borderId="32" xfId="2" applyNumberFormat="1" applyFont="1" applyBorder="1"/>
    <xf numFmtId="6" fontId="4" fillId="0" borderId="32" xfId="0" applyNumberFormat="1" applyFont="1" applyFill="1" applyBorder="1" applyAlignment="1">
      <alignment horizontal="center"/>
    </xf>
    <xf numFmtId="0" fontId="4" fillId="0" borderId="32" xfId="0" applyFont="1" applyBorder="1" applyAlignment="1">
      <alignment horizontal="center"/>
    </xf>
    <xf numFmtId="0" fontId="4" fillId="0" borderId="32" xfId="0" applyFont="1" applyBorder="1"/>
    <xf numFmtId="0" fontId="0" fillId="0" borderId="32" xfId="0" applyBorder="1"/>
    <xf numFmtId="165" fontId="47" fillId="0" borderId="22" xfId="0" applyNumberFormat="1" applyFont="1" applyBorder="1"/>
    <xf numFmtId="0" fontId="45" fillId="0" borderId="0" xfId="0" applyFont="1" applyAlignment="1">
      <alignment horizontal="left" vertical="center"/>
    </xf>
    <xf numFmtId="165" fontId="6" fillId="0" borderId="0" xfId="2" applyNumberFormat="1" applyFont="1"/>
    <xf numFmtId="0" fontId="37" fillId="0" borderId="11" xfId="0" applyFont="1" applyBorder="1"/>
    <xf numFmtId="0" fontId="0" fillId="0" borderId="37" xfId="0" applyBorder="1" applyAlignment="1">
      <alignment horizontal="right"/>
    </xf>
    <xf numFmtId="0" fontId="6" fillId="0" borderId="36" xfId="0" applyFont="1" applyBorder="1"/>
    <xf numFmtId="0" fontId="6" fillId="0" borderId="0" xfId="0" applyFont="1" applyAlignment="1">
      <alignment horizontal="center"/>
    </xf>
    <xf numFmtId="9" fontId="0" fillId="0" borderId="0" xfId="4" applyFont="1" applyFill="1" applyBorder="1"/>
    <xf numFmtId="167" fontId="35" fillId="0" borderId="22" xfId="1" applyNumberFormat="1" applyFont="1" applyBorder="1"/>
    <xf numFmtId="0" fontId="47" fillId="0" borderId="0" xfId="0" applyFont="1"/>
    <xf numFmtId="9" fontId="15" fillId="0" borderId="0" xfId="4" applyFont="1" applyFill="1" applyBorder="1"/>
    <xf numFmtId="0" fontId="0" fillId="0" borderId="22" xfId="0" applyBorder="1" applyAlignment="1">
      <alignment horizontal="center"/>
    </xf>
    <xf numFmtId="170" fontId="0" fillId="0" borderId="22" xfId="0" applyNumberFormat="1" applyBorder="1"/>
    <xf numFmtId="3" fontId="5" fillId="0" borderId="22" xfId="0" applyNumberFormat="1" applyFont="1" applyFill="1" applyBorder="1" applyAlignment="1">
      <alignment horizontal="center"/>
    </xf>
    <xf numFmtId="0" fontId="6" fillId="0" borderId="35" xfId="0" applyFont="1" applyBorder="1" applyAlignment="1">
      <alignment horizontal="center"/>
    </xf>
    <xf numFmtId="3" fontId="46" fillId="0" borderId="22" xfId="0" applyNumberFormat="1" applyFont="1" applyBorder="1" applyAlignment="1">
      <alignment horizontal="center"/>
    </xf>
    <xf numFmtId="0" fontId="6" fillId="0" borderId="33" xfId="0" applyFont="1" applyBorder="1" applyAlignment="1">
      <alignment horizontal="center"/>
    </xf>
    <xf numFmtId="174" fontId="37" fillId="0" borderId="0" xfId="1" applyNumberFormat="1" applyFont="1" applyFill="1" applyBorder="1"/>
    <xf numFmtId="174" fontId="37" fillId="0" borderId="11" xfId="1" applyNumberFormat="1" applyFont="1" applyFill="1" applyBorder="1"/>
    <xf numFmtId="0" fontId="6" fillId="0" borderId="6" xfId="0" applyFont="1" applyBorder="1" applyAlignment="1">
      <alignment horizontal="center"/>
    </xf>
    <xf numFmtId="0" fontId="6" fillId="0" borderId="4" xfId="0" applyFont="1" applyBorder="1" applyAlignment="1">
      <alignment horizontal="center"/>
    </xf>
    <xf numFmtId="0" fontId="48" fillId="0" borderId="0" xfId="0" applyFont="1"/>
    <xf numFmtId="0" fontId="49" fillId="0" borderId="22" xfId="0" applyFont="1" applyBorder="1" applyAlignment="1">
      <alignment horizontal="center" vertical="center"/>
    </xf>
    <xf numFmtId="0" fontId="49" fillId="0" borderId="22" xfId="0" applyFont="1" applyBorder="1" applyAlignment="1">
      <alignment horizontal="center" vertical="center" wrapText="1"/>
    </xf>
    <xf numFmtId="0" fontId="50" fillId="0" borderId="22" xfId="0" applyFont="1" applyBorder="1"/>
    <xf numFmtId="167" fontId="50" fillId="0" borderId="22" xfId="1" applyNumberFormat="1" applyFont="1" applyBorder="1"/>
    <xf numFmtId="170" fontId="50" fillId="0" borderId="22" xfId="0" applyNumberFormat="1" applyFont="1" applyBorder="1"/>
    <xf numFmtId="2" fontId="50" fillId="0" borderId="22" xfId="0" applyNumberFormat="1" applyFont="1" applyBorder="1"/>
    <xf numFmtId="0" fontId="50" fillId="0" borderId="0" xfId="0" applyFont="1"/>
    <xf numFmtId="43" fontId="50" fillId="0" borderId="0" xfId="1" applyFont="1"/>
    <xf numFmtId="43" fontId="51" fillId="0" borderId="0" xfId="1" applyFont="1"/>
    <xf numFmtId="0" fontId="50" fillId="0" borderId="0" xfId="0" applyFont="1" applyAlignment="1">
      <alignment horizontal="right"/>
    </xf>
    <xf numFmtId="0" fontId="34" fillId="0" borderId="22" xfId="0" applyFont="1" applyBorder="1"/>
    <xf numFmtId="167" fontId="0" fillId="0" borderId="22" xfId="1" applyNumberFormat="1" applyFont="1" applyBorder="1"/>
    <xf numFmtId="167" fontId="0" fillId="0" borderId="35" xfId="1" applyNumberFormat="1" applyFont="1" applyBorder="1"/>
    <xf numFmtId="166" fontId="0" fillId="0" borderId="22" xfId="1" applyNumberFormat="1" applyFont="1" applyBorder="1"/>
    <xf numFmtId="43" fontId="0" fillId="0" borderId="22" xfId="1" applyNumberFormat="1" applyFont="1" applyBorder="1"/>
    <xf numFmtId="43" fontId="0" fillId="0" borderId="22" xfId="1" applyFont="1" applyBorder="1"/>
    <xf numFmtId="2" fontId="0" fillId="0" borderId="22" xfId="0" applyNumberFormat="1" applyBorder="1"/>
    <xf numFmtId="2" fontId="0" fillId="0" borderId="22" xfId="1" applyNumberFormat="1" applyFont="1" applyBorder="1"/>
    <xf numFmtId="0" fontId="0" fillId="0" borderId="0" xfId="0" applyAlignment="1">
      <alignment horizontal="left" indent="2"/>
    </xf>
    <xf numFmtId="167" fontId="52" fillId="0" borderId="22" xfId="1" applyNumberFormat="1" applyFont="1" applyBorder="1"/>
    <xf numFmtId="43" fontId="0" fillId="0" borderId="0" xfId="0" applyNumberFormat="1"/>
    <xf numFmtId="43" fontId="37" fillId="0" borderId="0" xfId="0" applyNumberFormat="1" applyFont="1"/>
    <xf numFmtId="37" fontId="37" fillId="0" borderId="22" xfId="1" applyNumberFormat="1" applyFont="1" applyBorder="1"/>
    <xf numFmtId="167" fontId="0" fillId="0" borderId="0" xfId="0" applyNumberFormat="1" applyFill="1" applyBorder="1"/>
    <xf numFmtId="0" fontId="53" fillId="0" borderId="22" xfId="0" applyFont="1" applyBorder="1" applyAlignment="1">
      <alignment horizontal="center" vertical="center" wrapText="1"/>
    </xf>
    <xf numFmtId="167" fontId="54" fillId="0" borderId="22" xfId="1" applyNumberFormat="1" applyFont="1" applyBorder="1"/>
    <xf numFmtId="0" fontId="6" fillId="0" borderId="0" xfId="0" applyFont="1" applyAlignment="1">
      <alignment horizontal="left"/>
    </xf>
    <xf numFmtId="175" fontId="0" fillId="0" borderId="0" xfId="4" applyNumberFormat="1" applyFont="1" applyAlignment="1">
      <alignment horizontal="left"/>
    </xf>
    <xf numFmtId="175" fontId="0" fillId="0" borderId="22" xfId="4" applyNumberFormat="1" applyFont="1" applyBorder="1" applyAlignment="1">
      <alignment horizontal="center"/>
    </xf>
    <xf numFmtId="0" fontId="0" fillId="0" borderId="54" xfId="0" applyFill="1" applyBorder="1" applyAlignment="1">
      <alignment horizontal="center"/>
    </xf>
    <xf numFmtId="0" fontId="54" fillId="0" borderId="22" xfId="0" applyFont="1" applyBorder="1"/>
    <xf numFmtId="43" fontId="37" fillId="3" borderId="0" xfId="0" applyNumberFormat="1" applyFont="1" applyFill="1"/>
    <xf numFmtId="168" fontId="37" fillId="0" borderId="0" xfId="1" applyNumberFormat="1" applyFont="1" applyFill="1" applyBorder="1"/>
    <xf numFmtId="0" fontId="36" fillId="0" borderId="0" xfId="0" applyFont="1" applyBorder="1" applyAlignment="1">
      <alignment horizontal="right"/>
    </xf>
    <xf numFmtId="0" fontId="5" fillId="0" borderId="37" xfId="0" applyFont="1" applyBorder="1" applyAlignment="1">
      <alignment horizontal="left"/>
    </xf>
    <xf numFmtId="0" fontId="5" fillId="0" borderId="37" xfId="0" applyFont="1" applyBorder="1" applyAlignment="1">
      <alignment horizontal="center"/>
    </xf>
    <xf numFmtId="0" fontId="6" fillId="0" borderId="34" xfId="0" applyFont="1" applyBorder="1" applyAlignment="1">
      <alignment horizontal="center"/>
    </xf>
    <xf numFmtId="0" fontId="5" fillId="3" borderId="0" xfId="0" applyFont="1" applyFill="1"/>
    <xf numFmtId="177" fontId="0" fillId="0" borderId="0" xfId="0" applyNumberFormat="1"/>
    <xf numFmtId="43" fontId="37" fillId="0" borderId="11" xfId="0" applyNumberFormat="1" applyFont="1" applyBorder="1"/>
    <xf numFmtId="0" fontId="33" fillId="0" borderId="12" xfId="3" applyFill="1" applyBorder="1"/>
    <xf numFmtId="0" fontId="37" fillId="0" borderId="57" xfId="0" applyFont="1" applyFill="1" applyBorder="1"/>
    <xf numFmtId="0" fontId="0" fillId="0" borderId="27" xfId="0" applyBorder="1"/>
    <xf numFmtId="0" fontId="0" fillId="0" borderId="29" xfId="0" applyBorder="1"/>
    <xf numFmtId="0" fontId="0" fillId="0" borderId="30" xfId="0" applyBorder="1"/>
    <xf numFmtId="0" fontId="0" fillId="0" borderId="31" xfId="0" applyBorder="1"/>
    <xf numFmtId="0" fontId="0" fillId="3" borderId="32" xfId="0" applyFill="1" applyBorder="1"/>
    <xf numFmtId="44" fontId="0" fillId="0" borderId="0" xfId="0" applyNumberFormat="1"/>
    <xf numFmtId="44" fontId="0" fillId="0" borderId="29" xfId="0" applyNumberFormat="1" applyBorder="1"/>
    <xf numFmtId="44" fontId="0" fillId="0" borderId="32" xfId="0" applyNumberFormat="1" applyBorder="1"/>
    <xf numFmtId="44" fontId="0" fillId="0" borderId="28" xfId="0" applyNumberFormat="1" applyBorder="1" applyAlignment="1">
      <alignment wrapText="1"/>
    </xf>
    <xf numFmtId="44" fontId="0" fillId="0" borderId="31" xfId="0" applyNumberFormat="1" applyBorder="1" applyAlignment="1">
      <alignment wrapText="1"/>
    </xf>
    <xf numFmtId="0" fontId="0" fillId="0" borderId="0" xfId="0" applyFont="1" applyFill="1" applyBorder="1"/>
    <xf numFmtId="0" fontId="0" fillId="0" borderId="29" xfId="0" applyFont="1" applyFill="1" applyBorder="1"/>
    <xf numFmtId="0" fontId="0" fillId="0" borderId="27" xfId="0" applyFont="1" applyFill="1" applyBorder="1"/>
    <xf numFmtId="7" fontId="0" fillId="0" borderId="54" xfId="0" applyNumberFormat="1" applyBorder="1"/>
    <xf numFmtId="0" fontId="0" fillId="0" borderId="32" xfId="0" applyFont="1" applyFill="1" applyBorder="1"/>
    <xf numFmtId="7" fontId="0" fillId="0" borderId="31" xfId="0" applyNumberFormat="1" applyBorder="1"/>
    <xf numFmtId="0" fontId="5" fillId="0" borderId="52" xfId="0" applyFont="1" applyBorder="1" applyAlignment="1">
      <alignment horizontal="center"/>
    </xf>
    <xf numFmtId="0" fontId="5" fillId="0" borderId="36" xfId="0" applyFont="1" applyBorder="1" applyAlignment="1">
      <alignment horizontal="center"/>
    </xf>
    <xf numFmtId="0" fontId="6" fillId="0" borderId="37" xfId="0" applyFont="1" applyBorder="1" applyAlignment="1">
      <alignment wrapText="1"/>
    </xf>
    <xf numFmtId="0" fontId="0" fillId="0" borderId="52" xfId="0" applyFont="1" applyFill="1" applyBorder="1"/>
    <xf numFmtId="44" fontId="0" fillId="0" borderId="36" xfId="0" applyNumberFormat="1" applyBorder="1" applyAlignment="1">
      <alignment wrapText="1"/>
    </xf>
    <xf numFmtId="165" fontId="0" fillId="0" borderId="29" xfId="0" applyNumberFormat="1" applyBorder="1"/>
    <xf numFmtId="165" fontId="0" fillId="0" borderId="32" xfId="0" applyNumberFormat="1" applyBorder="1"/>
    <xf numFmtId="0" fontId="6" fillId="0" borderId="37" xfId="0" applyFont="1" applyBorder="1"/>
    <xf numFmtId="10" fontId="0" fillId="0" borderId="52" xfId="0" applyNumberFormat="1" applyBorder="1"/>
    <xf numFmtId="0" fontId="6" fillId="0" borderId="37" xfId="0" applyFont="1" applyFill="1" applyBorder="1"/>
    <xf numFmtId="44" fontId="6" fillId="0" borderId="36" xfId="0" applyNumberFormat="1" applyFont="1" applyBorder="1" applyAlignment="1">
      <alignment wrapText="1"/>
    </xf>
    <xf numFmtId="0" fontId="6" fillId="0" borderId="52" xfId="0" applyFont="1" applyBorder="1"/>
    <xf numFmtId="43" fontId="47" fillId="0" borderId="0" xfId="0" applyNumberFormat="1" applyFont="1"/>
    <xf numFmtId="167" fontId="0" fillId="0" borderId="0" xfId="1" applyNumberFormat="1" applyFont="1"/>
    <xf numFmtId="176" fontId="0" fillId="0" borderId="0" xfId="4" applyNumberFormat="1" applyFont="1"/>
    <xf numFmtId="167" fontId="0" fillId="0" borderId="35" xfId="1" applyNumberFormat="1" applyFont="1" applyBorder="1" applyAlignment="1">
      <alignment horizontal="center"/>
    </xf>
    <xf numFmtId="167" fontId="27" fillId="3" borderId="0" xfId="1" applyNumberFormat="1" applyFont="1" applyFill="1"/>
    <xf numFmtId="43" fontId="0" fillId="0" borderId="0" xfId="0" applyNumberFormat="1" applyAlignment="1">
      <alignment horizontal="center"/>
    </xf>
    <xf numFmtId="165" fontId="38" fillId="0" borderId="22" xfId="2" applyNumberFormat="1" applyFont="1" applyBorder="1"/>
    <xf numFmtId="165" fontId="38" fillId="0" borderId="0" xfId="2" applyNumberFormat="1" applyFont="1" applyBorder="1"/>
    <xf numFmtId="6" fontId="0" fillId="0" borderId="0" xfId="0" applyNumberFormat="1"/>
    <xf numFmtId="6" fontId="0" fillId="0" borderId="32" xfId="0" applyNumberFormat="1" applyBorder="1"/>
    <xf numFmtId="6" fontId="7" fillId="0" borderId="0" xfId="0" applyNumberFormat="1" applyFont="1" applyAlignment="1">
      <alignment horizontal="center" wrapText="1"/>
    </xf>
    <xf numFmtId="0" fontId="0" fillId="0" borderId="0" xfId="0" applyAlignment="1">
      <alignment wrapText="1"/>
    </xf>
    <xf numFmtId="0" fontId="7" fillId="0" borderId="0" xfId="0" applyFont="1" applyAlignment="1">
      <alignment horizontal="center" wrapText="1"/>
    </xf>
    <xf numFmtId="10" fontId="0" fillId="0" borderId="0" xfId="4" applyNumberFormat="1" applyFont="1"/>
    <xf numFmtId="0" fontId="5" fillId="0" borderId="22" xfId="0" applyFont="1" applyBorder="1"/>
    <xf numFmtId="0" fontId="5" fillId="0" borderId="37" xfId="0" applyFont="1" applyBorder="1"/>
    <xf numFmtId="0" fontId="5" fillId="0" borderId="52" xfId="0" applyFont="1" applyBorder="1"/>
    <xf numFmtId="0" fontId="5" fillId="0" borderId="36" xfId="0" applyFont="1" applyBorder="1"/>
    <xf numFmtId="167" fontId="0" fillId="0" borderId="29" xfId="1" applyNumberFormat="1" applyFont="1" applyBorder="1"/>
    <xf numFmtId="167" fontId="0" fillId="0" borderId="28" xfId="0" applyNumberFormat="1" applyBorder="1"/>
    <xf numFmtId="167" fontId="0" fillId="0" borderId="0" xfId="1" applyNumberFormat="1" applyFont="1" applyBorder="1"/>
    <xf numFmtId="167" fontId="0" fillId="0" borderId="54" xfId="0" applyNumberFormat="1" applyBorder="1"/>
    <xf numFmtId="167" fontId="5" fillId="0" borderId="0" xfId="1" applyNumberFormat="1" applyFont="1" applyBorder="1"/>
    <xf numFmtId="167" fontId="5" fillId="0" borderId="54" xfId="0" applyNumberFormat="1" applyFont="1" applyBorder="1"/>
    <xf numFmtId="0" fontId="0" fillId="0" borderId="30" xfId="0" applyFill="1" applyBorder="1"/>
    <xf numFmtId="167" fontId="6" fillId="0" borderId="32" xfId="1" applyNumberFormat="1" applyFont="1" applyFill="1" applyBorder="1" applyAlignment="1">
      <alignment horizontal="center"/>
    </xf>
    <xf numFmtId="0" fontId="0" fillId="0" borderId="32" xfId="0" applyFill="1" applyBorder="1"/>
    <xf numFmtId="9" fontId="27" fillId="0" borderId="31" xfId="4" applyFont="1" applyFill="1" applyBorder="1" applyAlignment="1">
      <alignment horizontal="left"/>
    </xf>
    <xf numFmtId="0" fontId="55" fillId="0" borderId="0" xfId="0" applyFont="1" applyAlignment="1">
      <alignment horizontal="center" wrapText="1"/>
    </xf>
    <xf numFmtId="0" fontId="24" fillId="0" borderId="0" xfId="0" applyFont="1" applyAlignment="1">
      <alignment horizontal="left" vertical="center" indent="4"/>
    </xf>
    <xf numFmtId="0" fontId="24" fillId="0" borderId="0" xfId="0" applyFont="1" applyAlignment="1">
      <alignment horizontal="left" vertical="center" indent="2"/>
    </xf>
    <xf numFmtId="0" fontId="6" fillId="0" borderId="0" xfId="0" quotePrefix="1" applyFont="1"/>
    <xf numFmtId="0" fontId="29" fillId="0" borderId="0" xfId="0" applyFont="1" applyAlignment="1">
      <alignment horizontal="left" vertical="center" indent="2"/>
    </xf>
    <xf numFmtId="0" fontId="29" fillId="0" borderId="0" xfId="0" applyFont="1" applyAlignment="1">
      <alignment vertical="center"/>
    </xf>
    <xf numFmtId="0" fontId="24" fillId="0" borderId="0" xfId="0" applyFont="1" applyAlignment="1">
      <alignment horizontal="left" vertical="center" wrapText="1" indent="4"/>
    </xf>
    <xf numFmtId="6" fontId="5" fillId="0" borderId="0" xfId="0" applyNumberFormat="1" applyFont="1"/>
    <xf numFmtId="8" fontId="39" fillId="0" borderId="11" xfId="0" applyNumberFormat="1" applyFont="1" applyFill="1" applyBorder="1"/>
    <xf numFmtId="9" fontId="37" fillId="0" borderId="11" xfId="0" applyNumberFormat="1" applyFont="1" applyBorder="1"/>
    <xf numFmtId="0" fontId="37" fillId="3" borderId="10" xfId="0" applyFont="1" applyFill="1" applyBorder="1"/>
    <xf numFmtId="0" fontId="37" fillId="3" borderId="11" xfId="0" applyFont="1" applyFill="1" applyBorder="1"/>
    <xf numFmtId="0" fontId="6" fillId="3" borderId="12" xfId="0" applyFont="1" applyFill="1" applyBorder="1"/>
    <xf numFmtId="0" fontId="0" fillId="3" borderId="0" xfId="0" applyFill="1" applyBorder="1"/>
    <xf numFmtId="0" fontId="39" fillId="3" borderId="11" xfId="0" applyFont="1" applyFill="1" applyBorder="1"/>
    <xf numFmtId="0" fontId="0" fillId="3" borderId="10" xfId="0" applyFill="1" applyBorder="1"/>
    <xf numFmtId="173" fontId="39" fillId="3" borderId="11" xfId="0" applyNumberFormat="1" applyFont="1" applyFill="1" applyBorder="1"/>
    <xf numFmtId="0" fontId="37" fillId="3" borderId="12" xfId="0" applyFont="1" applyFill="1" applyBorder="1"/>
    <xf numFmtId="40" fontId="0" fillId="0" borderId="0" xfId="0" applyNumberFormat="1"/>
    <xf numFmtId="40" fontId="6" fillId="0" borderId="0" xfId="0" applyNumberFormat="1" applyFont="1" applyAlignment="1">
      <alignment horizontal="center"/>
    </xf>
    <xf numFmtId="167" fontId="0" fillId="0" borderId="0" xfId="1" applyNumberFormat="1" applyFont="1" applyAlignment="1">
      <alignment horizontal="center"/>
    </xf>
    <xf numFmtId="167" fontId="6" fillId="0" borderId="0" xfId="1" applyNumberFormat="1" applyFont="1" applyAlignment="1">
      <alignment horizontal="left"/>
    </xf>
    <xf numFmtId="43" fontId="0" fillId="0" borderId="0" xfId="1" applyNumberFormat="1" applyFont="1" applyAlignment="1">
      <alignment horizontal="center"/>
    </xf>
    <xf numFmtId="6" fontId="0" fillId="0" borderId="22" xfId="0" applyNumberFormat="1" applyBorder="1"/>
    <xf numFmtId="6" fontId="5" fillId="0" borderId="22" xfId="0" applyNumberFormat="1" applyFont="1" applyBorder="1"/>
    <xf numFmtId="0" fontId="0" fillId="0" borderId="58" xfId="0" applyBorder="1"/>
    <xf numFmtId="0" fontId="0" fillId="0" borderId="59" xfId="0" applyBorder="1"/>
    <xf numFmtId="0" fontId="0" fillId="0" borderId="60" xfId="0" applyBorder="1" applyAlignment="1">
      <alignment horizontal="center"/>
    </xf>
    <xf numFmtId="6" fontId="0" fillId="0" borderId="40" xfId="0" applyNumberFormat="1" applyBorder="1"/>
    <xf numFmtId="6" fontId="5" fillId="0" borderId="40" xfId="0" applyNumberFormat="1" applyFont="1" applyBorder="1"/>
    <xf numFmtId="6" fontId="0" fillId="0" borderId="36" xfId="0" applyNumberFormat="1" applyBorder="1"/>
    <xf numFmtId="6" fontId="5" fillId="0" borderId="36" xfId="0" applyNumberFormat="1" applyFont="1" applyBorder="1"/>
    <xf numFmtId="40" fontId="5" fillId="0" borderId="61" xfId="0" applyNumberFormat="1" applyFont="1" applyBorder="1"/>
    <xf numFmtId="40" fontId="5" fillId="0" borderId="41" xfId="0" applyNumberFormat="1" applyFont="1" applyBorder="1"/>
    <xf numFmtId="0" fontId="6" fillId="0" borderId="62" xfId="0" applyFont="1" applyBorder="1" applyAlignment="1">
      <alignment horizontal="center"/>
    </xf>
    <xf numFmtId="0" fontId="6" fillId="0" borderId="63" xfId="0" applyFont="1" applyBorder="1"/>
    <xf numFmtId="0" fontId="6" fillId="0" borderId="64" xfId="0" applyFont="1" applyBorder="1" applyAlignment="1">
      <alignment horizontal="center"/>
    </xf>
    <xf numFmtId="0" fontId="6" fillId="0" borderId="58" xfId="0" applyFont="1" applyBorder="1"/>
    <xf numFmtId="0" fontId="6" fillId="0" borderId="65" xfId="0" applyFont="1" applyBorder="1" applyAlignment="1">
      <alignment horizontal="center"/>
    </xf>
    <xf numFmtId="0" fontId="6" fillId="0" borderId="66" xfId="0" applyFont="1" applyBorder="1" applyAlignment="1">
      <alignment horizontal="center"/>
    </xf>
    <xf numFmtId="0" fontId="0" fillId="0" borderId="66" xfId="0" applyBorder="1" applyAlignment="1">
      <alignment horizontal="center"/>
    </xf>
    <xf numFmtId="0" fontId="0" fillId="0" borderId="31" xfId="0" applyBorder="1" applyAlignment="1">
      <alignment horizontal="center"/>
    </xf>
    <xf numFmtId="0" fontId="0" fillId="0" borderId="38" xfId="0" applyBorder="1" applyAlignment="1">
      <alignment wrapText="1"/>
    </xf>
    <xf numFmtId="0" fontId="6" fillId="0" borderId="39" xfId="0" applyFont="1" applyBorder="1" applyAlignment="1">
      <alignment wrapText="1"/>
    </xf>
    <xf numFmtId="0" fontId="0" fillId="0" borderId="45" xfId="0" applyBorder="1" applyAlignment="1">
      <alignment wrapText="1"/>
    </xf>
    <xf numFmtId="0" fontId="0" fillId="0" borderId="59" xfId="0" applyBorder="1" applyAlignment="1">
      <alignment wrapText="1"/>
    </xf>
    <xf numFmtId="6" fontId="0" fillId="0" borderId="31" xfId="0" applyNumberFormat="1" applyBorder="1"/>
    <xf numFmtId="6" fontId="0" fillId="0" borderId="0" xfId="0" applyNumberFormat="1" applyBorder="1"/>
    <xf numFmtId="6" fontId="0" fillId="0" borderId="35" xfId="0" applyNumberFormat="1" applyBorder="1"/>
    <xf numFmtId="0" fontId="6" fillId="0" borderId="67" xfId="0" applyFont="1" applyBorder="1" applyAlignment="1">
      <alignment wrapText="1"/>
    </xf>
    <xf numFmtId="0" fontId="0" fillId="0" borderId="46" xfId="0" applyBorder="1"/>
    <xf numFmtId="0" fontId="6" fillId="0" borderId="68" xfId="0" applyFont="1" applyBorder="1" applyAlignment="1">
      <alignment wrapText="1"/>
    </xf>
    <xf numFmtId="6" fontId="0" fillId="0" borderId="69" xfId="0" applyNumberFormat="1" applyBorder="1"/>
    <xf numFmtId="0" fontId="5" fillId="0" borderId="14" xfId="0" applyFont="1" applyBorder="1"/>
    <xf numFmtId="0" fontId="5" fillId="0" borderId="22" xfId="0" applyFont="1" applyBorder="1" applyAlignment="1">
      <alignment horizontal="center"/>
    </xf>
    <xf numFmtId="0" fontId="12" fillId="0" borderId="23" xfId="0" applyFont="1" applyBorder="1"/>
    <xf numFmtId="0" fontId="6" fillId="0" borderId="12" xfId="0" applyFont="1" applyFill="1" applyBorder="1" applyAlignment="1">
      <alignment wrapText="1"/>
    </xf>
    <xf numFmtId="0" fontId="5" fillId="0" borderId="20" xfId="0" applyFont="1" applyBorder="1"/>
    <xf numFmtId="0" fontId="6" fillId="0" borderId="13" xfId="0" applyFont="1" applyFill="1" applyBorder="1"/>
    <xf numFmtId="0" fontId="12" fillId="0" borderId="10" xfId="0" applyFont="1" applyBorder="1"/>
    <xf numFmtId="0" fontId="5" fillId="0" borderId="24" xfId="0" applyFont="1" applyBorder="1"/>
    <xf numFmtId="0" fontId="6" fillId="0" borderId="26" xfId="0" applyFont="1" applyFill="1" applyBorder="1" applyAlignment="1">
      <alignment wrapText="1"/>
    </xf>
    <xf numFmtId="0" fontId="6" fillId="0" borderId="26" xfId="0" applyFont="1" applyFill="1" applyBorder="1"/>
    <xf numFmtId="0" fontId="6" fillId="0" borderId="70" xfId="0" applyFont="1" applyFill="1" applyBorder="1"/>
    <xf numFmtId="0" fontId="12" fillId="0" borderId="14" xfId="0" applyFont="1" applyBorder="1"/>
    <xf numFmtId="0" fontId="12" fillId="0" borderId="71" xfId="0" applyFont="1" applyBorder="1"/>
    <xf numFmtId="0" fontId="6" fillId="0" borderId="72" xfId="0" applyFont="1" applyFill="1" applyBorder="1"/>
    <xf numFmtId="0" fontId="12" fillId="0" borderId="14" xfId="0" applyFont="1" applyBorder="1" applyAlignment="1">
      <alignment wrapText="1"/>
    </xf>
    <xf numFmtId="165" fontId="0" fillId="0" borderId="0" xfId="0" applyNumberFormat="1" applyBorder="1"/>
    <xf numFmtId="0" fontId="6" fillId="0" borderId="10" xfId="0" applyFont="1" applyBorder="1" applyAlignment="1">
      <alignment wrapText="1"/>
    </xf>
    <xf numFmtId="166" fontId="6" fillId="0" borderId="15" xfId="1" applyNumberFormat="1" applyFont="1" applyBorder="1"/>
    <xf numFmtId="43" fontId="42" fillId="0" borderId="22" xfId="1" applyNumberFormat="1" applyFont="1" applyBorder="1"/>
    <xf numFmtId="166" fontId="6" fillId="0" borderId="11" xfId="1" applyNumberFormat="1" applyFont="1" applyBorder="1"/>
    <xf numFmtId="165" fontId="42" fillId="0" borderId="22" xfId="2" applyNumberFormat="1" applyFont="1" applyBorder="1"/>
    <xf numFmtId="0" fontId="6" fillId="0" borderId="11" xfId="0" applyFont="1" applyBorder="1"/>
    <xf numFmtId="9" fontId="42" fillId="0" borderId="22" xfId="0" applyNumberFormat="1" applyFont="1" applyBorder="1"/>
    <xf numFmtId="9" fontId="6" fillId="0" borderId="0" xfId="0" applyNumberFormat="1" applyFont="1" applyBorder="1"/>
    <xf numFmtId="167" fontId="42" fillId="0" borderId="22" xfId="1" applyNumberFormat="1" applyFont="1" applyBorder="1"/>
    <xf numFmtId="44" fontId="42" fillId="0" borderId="22" xfId="2" applyFont="1" applyBorder="1"/>
    <xf numFmtId="166" fontId="6" fillId="0" borderId="55" xfId="1" applyNumberFormat="1" applyFont="1" applyBorder="1"/>
    <xf numFmtId="166" fontId="6" fillId="0" borderId="73" xfId="1" applyNumberFormat="1" applyFont="1" applyBorder="1"/>
    <xf numFmtId="169" fontId="6" fillId="0" borderId="11" xfId="1" applyNumberFormat="1" applyFont="1" applyBorder="1"/>
    <xf numFmtId="37" fontId="6" fillId="0" borderId="22" xfId="1" applyNumberFormat="1" applyFont="1" applyBorder="1"/>
    <xf numFmtId="0" fontId="6" fillId="0" borderId="0" xfId="0" applyFont="1" applyBorder="1"/>
    <xf numFmtId="7" fontId="6" fillId="0" borderId="56" xfId="0" applyNumberFormat="1" applyFont="1" applyFill="1" applyBorder="1"/>
    <xf numFmtId="8" fontId="42" fillId="0" borderId="22" xfId="0" applyNumberFormat="1" applyFont="1" applyBorder="1" applyAlignment="1">
      <alignment horizontal="right"/>
    </xf>
    <xf numFmtId="166" fontId="6" fillId="0" borderId="25" xfId="1" applyNumberFormat="1" applyFont="1" applyBorder="1"/>
    <xf numFmtId="174" fontId="6" fillId="0" borderId="22" xfId="1" applyNumberFormat="1" applyFont="1" applyBorder="1"/>
    <xf numFmtId="165" fontId="41" fillId="0" borderId="22" xfId="2" applyNumberFormat="1" applyFont="1" applyBorder="1"/>
    <xf numFmtId="10" fontId="6" fillId="0" borderId="22" xfId="0" applyNumberFormat="1" applyFont="1" applyBorder="1"/>
    <xf numFmtId="166" fontId="6" fillId="0" borderId="11" xfId="0" applyNumberFormat="1" applyFont="1" applyBorder="1"/>
    <xf numFmtId="43" fontId="6" fillId="0" borderId="11" xfId="0" applyNumberFormat="1" applyFont="1" applyBorder="1"/>
    <xf numFmtId="9" fontId="6" fillId="0" borderId="11" xfId="0" applyNumberFormat="1" applyFont="1" applyBorder="1"/>
    <xf numFmtId="0" fontId="5" fillId="0" borderId="74" xfId="0" applyFont="1" applyBorder="1"/>
    <xf numFmtId="0" fontId="6" fillId="0" borderId="57" xfId="0" applyFont="1" applyFill="1" applyBorder="1"/>
    <xf numFmtId="0" fontId="5" fillId="0" borderId="74" xfId="0" applyFont="1" applyBorder="1" applyAlignment="1">
      <alignment horizontal="center"/>
    </xf>
    <xf numFmtId="172" fontId="42" fillId="0" borderId="22" xfId="0" applyNumberFormat="1" applyFont="1" applyBorder="1" applyAlignment="1">
      <alignment horizontal="right"/>
    </xf>
    <xf numFmtId="0" fontId="6" fillId="0" borderId="23" xfId="0" applyFont="1" applyBorder="1"/>
    <xf numFmtId="0" fontId="6" fillId="0" borderId="24" xfId="0" applyFont="1" applyBorder="1"/>
    <xf numFmtId="0" fontId="6" fillId="0" borderId="23" xfId="0" applyFont="1" applyBorder="1" applyAlignment="1">
      <alignment horizontal="right"/>
    </xf>
    <xf numFmtId="0" fontId="6" fillId="0" borderId="54" xfId="0" applyFont="1" applyBorder="1"/>
    <xf numFmtId="0" fontId="31" fillId="0" borderId="12" xfId="3" applyFont="1" applyFill="1" applyBorder="1"/>
    <xf numFmtId="0" fontId="0" fillId="0" borderId="0" xfId="0" applyFill="1" applyAlignment="1">
      <alignment horizontal="center"/>
    </xf>
    <xf numFmtId="8" fontId="21" fillId="0" borderId="0" xfId="0" applyNumberFormat="1" applyFont="1" applyFill="1" applyAlignment="1">
      <alignment horizontal="center"/>
    </xf>
    <xf numFmtId="2" fontId="0" fillId="0" borderId="0" xfId="0" applyNumberFormat="1" applyAlignment="1">
      <alignment horizontal="center"/>
    </xf>
    <xf numFmtId="2" fontId="7" fillId="0" borderId="0" xfId="0" applyNumberFormat="1" applyFont="1" applyAlignment="1">
      <alignment horizontal="center" wrapText="1"/>
    </xf>
    <xf numFmtId="2" fontId="43" fillId="0" borderId="0" xfId="0" applyNumberFormat="1" applyFont="1" applyAlignment="1">
      <alignment horizontal="center"/>
    </xf>
    <xf numFmtId="2" fontId="4" fillId="0" borderId="0" xfId="0" applyNumberFormat="1" applyFont="1" applyFill="1" applyAlignment="1">
      <alignment horizontal="center"/>
    </xf>
    <xf numFmtId="2" fontId="4" fillId="0" borderId="32" xfId="0" applyNumberFormat="1" applyFont="1" applyFill="1" applyBorder="1" applyAlignment="1">
      <alignment horizontal="center"/>
    </xf>
    <xf numFmtId="2" fontId="0" fillId="0" borderId="0" xfId="0" applyNumberFormat="1" applyBorder="1"/>
    <xf numFmtId="0" fontId="55" fillId="0" borderId="0" xfId="0" applyFont="1" applyAlignment="1">
      <alignment horizontal="center"/>
    </xf>
    <xf numFmtId="6" fontId="6" fillId="0" borderId="0" xfId="2" applyNumberFormat="1" applyFont="1" applyAlignment="1">
      <alignment horizontal="center"/>
    </xf>
    <xf numFmtId="6" fontId="6" fillId="0" borderId="32" xfId="2" applyNumberFormat="1" applyFont="1" applyBorder="1" applyAlignment="1">
      <alignment horizontal="center"/>
    </xf>
    <xf numFmtId="6" fontId="6" fillId="0" borderId="0" xfId="0" applyNumberFormat="1" applyFont="1" applyAlignment="1">
      <alignment horizontal="center"/>
    </xf>
    <xf numFmtId="9" fontId="6" fillId="0" borderId="0" xfId="4" applyFont="1" applyAlignment="1">
      <alignment horizontal="right"/>
    </xf>
    <xf numFmtId="171" fontId="6" fillId="0" borderId="0" xfId="0" applyNumberFormat="1" applyFont="1" applyAlignment="1">
      <alignment horizontal="right"/>
    </xf>
    <xf numFmtId="167" fontId="6" fillId="0" borderId="0" xfId="1" applyNumberFormat="1" applyFont="1" applyBorder="1" applyAlignment="1">
      <alignment horizontal="center"/>
    </xf>
    <xf numFmtId="6" fontId="6" fillId="0" borderId="0" xfId="0" applyNumberFormat="1" applyFont="1" applyBorder="1" applyAlignment="1">
      <alignment horizontal="right"/>
    </xf>
    <xf numFmtId="6" fontId="6" fillId="0" borderId="0" xfId="0" applyNumberFormat="1" applyFont="1" applyFill="1" applyAlignment="1">
      <alignment horizontal="center"/>
    </xf>
    <xf numFmtId="6" fontId="6" fillId="0" borderId="32" xfId="0" applyNumberFormat="1" applyFont="1" applyFill="1" applyBorder="1" applyAlignment="1">
      <alignment horizontal="center"/>
    </xf>
    <xf numFmtId="8" fontId="6" fillId="0" borderId="0" xfId="0" applyNumberFormat="1" applyFont="1" applyAlignment="1">
      <alignment horizontal="center"/>
    </xf>
    <xf numFmtId="8" fontId="6" fillId="0" borderId="0" xfId="0" applyNumberFormat="1" applyFont="1" applyFill="1" applyAlignment="1">
      <alignment horizontal="center"/>
    </xf>
    <xf numFmtId="172" fontId="4" fillId="0" borderId="0" xfId="2" applyNumberFormat="1" applyFont="1" applyFill="1" applyAlignment="1">
      <alignment horizontal="center"/>
    </xf>
    <xf numFmtId="0" fontId="6" fillId="0" borderId="32" xfId="0" applyFont="1" applyBorder="1" applyAlignment="1">
      <alignment horizontal="center"/>
    </xf>
    <xf numFmtId="172" fontId="0" fillId="0" borderId="36" xfId="0" applyNumberFormat="1" applyBorder="1"/>
    <xf numFmtId="6" fontId="0" fillId="0" borderId="75" xfId="0" applyNumberFormat="1" applyBorder="1"/>
    <xf numFmtId="172" fontId="0" fillId="0" borderId="75" xfId="0" applyNumberFormat="1" applyBorder="1"/>
    <xf numFmtId="6" fontId="5" fillId="0" borderId="75" xfId="0" applyNumberFormat="1" applyFont="1" applyBorder="1"/>
    <xf numFmtId="0" fontId="56" fillId="0" borderId="37" xfId="0" applyFont="1" applyBorder="1"/>
    <xf numFmtId="0" fontId="34" fillId="0" borderId="23" xfId="0" applyFont="1" applyBorder="1"/>
    <xf numFmtId="0" fontId="0" fillId="0" borderId="23" xfId="0" applyFont="1" applyBorder="1"/>
    <xf numFmtId="3" fontId="34" fillId="0" borderId="54" xfId="0" applyNumberFormat="1" applyFont="1" applyBorder="1"/>
    <xf numFmtId="0" fontId="32" fillId="0" borderId="23" xfId="0" applyFont="1" applyBorder="1"/>
    <xf numFmtId="0" fontId="57" fillId="0" borderId="23" xfId="0" applyFont="1" applyBorder="1"/>
    <xf numFmtId="6" fontId="34" fillId="0" borderId="0" xfId="0" applyNumberFormat="1" applyFont="1" applyBorder="1"/>
    <xf numFmtId="0" fontId="34" fillId="0" borderId="32" xfId="0" applyFont="1" applyBorder="1"/>
    <xf numFmtId="6" fontId="34" fillId="0" borderId="32" xfId="0" applyNumberFormat="1" applyFont="1" applyBorder="1"/>
    <xf numFmtId="0" fontId="0" fillId="0" borderId="0" xfId="0" applyBorder="1" applyAlignment="1"/>
    <xf numFmtId="6" fontId="6" fillId="0" borderId="0" xfId="0" applyNumberFormat="1" applyFont="1" applyBorder="1"/>
    <xf numFmtId="0" fontId="5" fillId="0" borderId="0" xfId="0" applyFont="1" applyAlignment="1">
      <alignment horizontal="center"/>
    </xf>
    <xf numFmtId="0" fontId="16" fillId="6" borderId="0" xfId="0" applyFont="1" applyFill="1" applyBorder="1"/>
    <xf numFmtId="0" fontId="0" fillId="6" borderId="0" xfId="0" applyFill="1" applyBorder="1"/>
    <xf numFmtId="0" fontId="12" fillId="6" borderId="0" xfId="0" applyFont="1" applyFill="1" applyBorder="1"/>
    <xf numFmtId="0" fontId="5" fillId="6" borderId="18" xfId="0" applyFont="1" applyFill="1" applyBorder="1" applyAlignment="1">
      <alignment horizontal="center"/>
    </xf>
    <xf numFmtId="0" fontId="36" fillId="6" borderId="22" xfId="0" applyFont="1" applyFill="1" applyBorder="1"/>
    <xf numFmtId="0" fontId="37" fillId="6" borderId="29" xfId="0" applyFont="1" applyFill="1" applyBorder="1"/>
    <xf numFmtId="0" fontId="39" fillId="6" borderId="10" xfId="0" applyFont="1" applyFill="1" applyBorder="1"/>
    <xf numFmtId="0" fontId="37" fillId="8" borderId="0" xfId="0" applyFont="1" applyFill="1" applyBorder="1"/>
    <xf numFmtId="6" fontId="36" fillId="8" borderId="22" xfId="0" applyNumberFormat="1" applyFont="1" applyFill="1" applyBorder="1" applyAlignment="1">
      <alignment horizontal="right"/>
    </xf>
    <xf numFmtId="0" fontId="3" fillId="0" borderId="0" xfId="6"/>
    <xf numFmtId="49" fontId="60" fillId="0" borderId="22" xfId="5" applyNumberFormat="1" applyFont="1" applyFill="1" applyBorder="1" applyAlignment="1">
      <alignment horizontal="center" vertical="center"/>
    </xf>
    <xf numFmtId="0" fontId="60" fillId="0" borderId="22" xfId="5" applyFont="1" applyFill="1" applyBorder="1" applyAlignment="1">
      <alignment horizontal="center" vertical="center"/>
    </xf>
    <xf numFmtId="2" fontId="60" fillId="0" borderId="22" xfId="5" applyNumberFormat="1" applyFont="1" applyFill="1" applyBorder="1" applyAlignment="1">
      <alignment horizontal="center" vertical="center"/>
    </xf>
    <xf numFmtId="49" fontId="21" fillId="0" borderId="22" xfId="7" applyNumberFormat="1" applyFont="1" applyFill="1" applyBorder="1" applyAlignment="1">
      <alignment horizontal="left" vertical="center"/>
    </xf>
    <xf numFmtId="0" fontId="21" fillId="0" borderId="22" xfId="7" applyNumberFormat="1" applyFont="1" applyFill="1" applyBorder="1" applyAlignment="1">
      <alignment horizontal="left" vertical="center"/>
    </xf>
    <xf numFmtId="2" fontId="21" fillId="0" borderId="22" xfId="7" applyNumberFormat="1" applyFont="1" applyFill="1" applyBorder="1" applyAlignment="1">
      <alignment horizontal="right" vertical="center"/>
    </xf>
    <xf numFmtId="0" fontId="21" fillId="0" borderId="22" xfId="5" applyFont="1" applyFill="1" applyBorder="1" applyAlignment="1">
      <alignment horizontal="left" vertical="center"/>
    </xf>
    <xf numFmtId="49" fontId="21" fillId="0" borderId="0" xfId="5" applyNumberFormat="1" applyFont="1" applyFill="1" applyBorder="1" applyAlignment="1">
      <alignment horizontal="left"/>
    </xf>
    <xf numFmtId="0" fontId="21" fillId="0" borderId="0" xfId="5" applyFont="1" applyFill="1" applyBorder="1" applyAlignment="1">
      <alignment horizontal="left"/>
    </xf>
    <xf numFmtId="2" fontId="59" fillId="0" borderId="0" xfId="5" applyNumberFormat="1" applyFont="1" applyFill="1" applyBorder="1" applyAlignment="1"/>
    <xf numFmtId="0" fontId="59" fillId="0" borderId="0" xfId="5" applyFont="1" applyFill="1" applyBorder="1" applyAlignment="1"/>
    <xf numFmtId="0" fontId="20" fillId="0" borderId="22" xfId="5" applyFont="1" applyFill="1" applyBorder="1" applyAlignment="1">
      <alignment horizontal="left" vertical="center"/>
    </xf>
    <xf numFmtId="49" fontId="61" fillId="14" borderId="22" xfId="7" applyNumberFormat="1" applyFont="1" applyFill="1" applyBorder="1" applyAlignment="1">
      <alignment horizontal="left" vertical="center"/>
    </xf>
    <xf numFmtId="0" fontId="61" fillId="14" borderId="22" xfId="7" applyNumberFormat="1" applyFont="1" applyFill="1" applyBorder="1" applyAlignment="1">
      <alignment horizontal="left" vertical="center"/>
    </xf>
    <xf numFmtId="2" fontId="61" fillId="14" borderId="22" xfId="7" applyNumberFormat="1" applyFont="1" applyFill="1" applyBorder="1" applyAlignment="1">
      <alignment horizontal="right" vertical="center"/>
    </xf>
    <xf numFmtId="0" fontId="61" fillId="14" borderId="22" xfId="5" applyFont="1" applyFill="1" applyBorder="1" applyAlignment="1">
      <alignment horizontal="left" vertical="center"/>
    </xf>
    <xf numFmtId="0" fontId="62" fillId="0" borderId="0" xfId="6" applyFont="1"/>
    <xf numFmtId="0" fontId="63" fillId="0" borderId="0" xfId="6" applyFont="1" applyAlignment="1">
      <alignment vertical="center"/>
    </xf>
    <xf numFmtId="0" fontId="34" fillId="0" borderId="0" xfId="6" applyFont="1"/>
    <xf numFmtId="0" fontId="3" fillId="0" borderId="27" xfId="6" applyBorder="1"/>
    <xf numFmtId="0" fontId="3" fillId="0" borderId="28" xfId="6" applyBorder="1"/>
    <xf numFmtId="16" fontId="3" fillId="0" borderId="33" xfId="6" quotePrefix="1" applyNumberFormat="1" applyBorder="1"/>
    <xf numFmtId="0" fontId="3" fillId="0" borderId="23" xfId="6" applyBorder="1"/>
    <xf numFmtId="0" fontId="3" fillId="0" borderId="54" xfId="6" applyBorder="1"/>
    <xf numFmtId="0" fontId="3" fillId="0" borderId="34" xfId="6" quotePrefix="1" applyBorder="1"/>
    <xf numFmtId="0" fontId="3" fillId="0" borderId="34" xfId="6" applyBorder="1"/>
    <xf numFmtId="16" fontId="3" fillId="0" borderId="34" xfId="6" quotePrefix="1" applyNumberFormat="1" applyBorder="1"/>
    <xf numFmtId="0" fontId="50" fillId="0" borderId="23" xfId="6" applyFont="1" applyBorder="1"/>
    <xf numFmtId="0" fontId="50" fillId="0" borderId="54" xfId="6" applyFont="1" applyBorder="1"/>
    <xf numFmtId="0" fontId="3" fillId="0" borderId="30" xfId="6" applyBorder="1"/>
    <xf numFmtId="0" fontId="3" fillId="0" borderId="31" xfId="6" applyBorder="1"/>
    <xf numFmtId="0" fontId="3" fillId="0" borderId="35" xfId="6" applyBorder="1"/>
    <xf numFmtId="0" fontId="3" fillId="0" borderId="0" xfId="6" applyBorder="1" applyAlignment="1"/>
    <xf numFmtId="0" fontId="3" fillId="0" borderId="0" xfId="6" applyBorder="1"/>
    <xf numFmtId="0" fontId="3" fillId="0" borderId="0" xfId="6" applyFill="1"/>
    <xf numFmtId="0" fontId="3" fillId="3" borderId="0" xfId="6" applyFill="1"/>
    <xf numFmtId="9" fontId="3" fillId="0" borderId="0" xfId="6" applyNumberFormat="1"/>
    <xf numFmtId="9" fontId="3" fillId="0" borderId="0" xfId="6" applyNumberFormat="1" applyFill="1"/>
    <xf numFmtId="6" fontId="36" fillId="6" borderId="22" xfId="0" applyNumberFormat="1" applyFont="1" applyFill="1" applyBorder="1"/>
    <xf numFmtId="0" fontId="37" fillId="6" borderId="0" xfId="0" applyFont="1" applyFill="1" applyBorder="1"/>
    <xf numFmtId="0" fontId="3" fillId="0" borderId="0" xfId="6" applyFill="1" applyBorder="1"/>
    <xf numFmtId="0" fontId="3" fillId="0" borderId="0" xfId="6" applyAlignment="1">
      <alignment horizontal="center"/>
    </xf>
    <xf numFmtId="0" fontId="3" fillId="0" borderId="0" xfId="6" applyAlignment="1">
      <alignment horizontal="left"/>
    </xf>
    <xf numFmtId="0" fontId="3" fillId="0" borderId="79" xfId="6" applyBorder="1" applyAlignment="1">
      <alignment horizontal="left"/>
    </xf>
    <xf numFmtId="0" fontId="3" fillId="0" borderId="80" xfId="6" applyBorder="1"/>
    <xf numFmtId="0" fontId="35" fillId="0" borderId="80" xfId="6" applyFont="1" applyBorder="1" applyAlignment="1"/>
    <xf numFmtId="0" fontId="3" fillId="0" borderId="81" xfId="6" applyBorder="1"/>
    <xf numFmtId="0" fontId="66" fillId="0" borderId="0" xfId="8" applyFont="1" applyFill="1" applyBorder="1" applyAlignment="1">
      <alignment horizontal="center" vertical="center"/>
    </xf>
    <xf numFmtId="0" fontId="67" fillId="17" borderId="82" xfId="9" applyFont="1" applyFill="1" applyBorder="1" applyAlignment="1">
      <alignment horizontal="center"/>
    </xf>
    <xf numFmtId="0" fontId="67" fillId="17" borderId="83" xfId="9" applyFont="1" applyFill="1" applyBorder="1" applyAlignment="1">
      <alignment horizontal="center"/>
    </xf>
    <xf numFmtId="0" fontId="67" fillId="17" borderId="84" xfId="9" applyFont="1" applyFill="1" applyBorder="1" applyAlignment="1">
      <alignment horizontal="center"/>
    </xf>
    <xf numFmtId="0" fontId="24" fillId="0" borderId="0" xfId="8" applyFont="1" applyFill="1" applyBorder="1" applyAlignment="1">
      <alignment horizontal="center" vertical="center"/>
    </xf>
    <xf numFmtId="0" fontId="3" fillId="0" borderId="0" xfId="6" applyBorder="1" applyAlignment="1">
      <alignment horizontal="center"/>
    </xf>
    <xf numFmtId="0" fontId="3" fillId="0" borderId="0" xfId="6" applyBorder="1" applyAlignment="1">
      <alignment horizontal="left"/>
    </xf>
    <xf numFmtId="0" fontId="67" fillId="0" borderId="85" xfId="9" applyFont="1" applyFill="1" applyBorder="1" applyAlignment="1">
      <alignment horizontal="center" wrapText="1"/>
    </xf>
    <xf numFmtId="2" fontId="67" fillId="0" borderId="86" xfId="9" applyNumberFormat="1" applyFont="1" applyFill="1" applyBorder="1" applyAlignment="1">
      <alignment horizontal="center" wrapText="1"/>
    </xf>
    <xf numFmtId="1" fontId="67" fillId="0" borderId="86" xfId="9" applyNumberFormat="1" applyFont="1" applyFill="1" applyBorder="1" applyAlignment="1">
      <alignment horizontal="center" wrapText="1"/>
    </xf>
    <xf numFmtId="0" fontId="67" fillId="0" borderId="87" xfId="9" applyFont="1" applyFill="1" applyBorder="1" applyAlignment="1">
      <alignment horizontal="center" wrapText="1"/>
    </xf>
    <xf numFmtId="1" fontId="58" fillId="0" borderId="0" xfId="6" applyNumberFormat="1" applyFont="1" applyFill="1" applyBorder="1"/>
    <xf numFmtId="1" fontId="3" fillId="0" borderId="0" xfId="6" applyNumberFormat="1" applyBorder="1" applyAlignment="1">
      <alignment horizontal="center"/>
    </xf>
    <xf numFmtId="1" fontId="3" fillId="0" borderId="0" xfId="6" applyNumberFormat="1" applyBorder="1" applyAlignment="1"/>
    <xf numFmtId="0" fontId="67" fillId="0" borderId="88" xfId="9" applyFont="1" applyFill="1" applyBorder="1" applyAlignment="1">
      <alignment horizontal="center" wrapText="1"/>
    </xf>
    <xf numFmtId="2" fontId="67" fillId="0" borderId="89" xfId="9" applyNumberFormat="1" applyFont="1" applyFill="1" applyBorder="1" applyAlignment="1">
      <alignment horizontal="center" wrapText="1"/>
    </xf>
    <xf numFmtId="1" fontId="67" fillId="0" borderId="89" xfId="9" applyNumberFormat="1" applyFont="1" applyFill="1" applyBorder="1" applyAlignment="1">
      <alignment horizontal="center" wrapText="1"/>
    </xf>
    <xf numFmtId="0" fontId="67" fillId="0" borderId="90" xfId="9" applyFont="1" applyFill="1" applyBorder="1" applyAlignment="1">
      <alignment horizontal="center" wrapText="1"/>
    </xf>
    <xf numFmtId="0" fontId="67" fillId="0" borderId="91" xfId="9" applyFont="1" applyFill="1" applyBorder="1" applyAlignment="1">
      <alignment horizontal="center" wrapText="1"/>
    </xf>
    <xf numFmtId="2" fontId="67" fillId="0" borderId="92" xfId="9" applyNumberFormat="1" applyFont="1" applyFill="1" applyBorder="1" applyAlignment="1">
      <alignment horizontal="center" wrapText="1"/>
    </xf>
    <xf numFmtId="1" fontId="67" fillId="0" borderId="92" xfId="9" applyNumberFormat="1" applyFont="1" applyFill="1" applyBorder="1" applyAlignment="1">
      <alignment horizontal="center" wrapText="1"/>
    </xf>
    <xf numFmtId="0" fontId="67" fillId="0" borderId="93" xfId="9" applyFont="1" applyFill="1" applyBorder="1" applyAlignment="1">
      <alignment horizontal="center" wrapText="1"/>
    </xf>
    <xf numFmtId="0" fontId="67" fillId="0" borderId="94" xfId="9" applyFont="1" applyFill="1" applyBorder="1" applyAlignment="1">
      <alignment horizontal="center" wrapText="1"/>
    </xf>
    <xf numFmtId="2" fontId="67" fillId="0" borderId="95" xfId="9" applyNumberFormat="1" applyFont="1" applyFill="1" applyBorder="1" applyAlignment="1">
      <alignment horizontal="center" wrapText="1"/>
    </xf>
    <xf numFmtId="1" fontId="67" fillId="0" borderId="95" xfId="9" applyNumberFormat="1" applyFont="1" applyFill="1" applyBorder="1" applyAlignment="1">
      <alignment horizontal="center" wrapText="1"/>
    </xf>
    <xf numFmtId="0" fontId="67" fillId="0" borderId="96" xfId="9" applyFont="1" applyFill="1" applyBorder="1" applyAlignment="1">
      <alignment horizontal="center" wrapText="1"/>
    </xf>
    <xf numFmtId="0" fontId="67" fillId="0" borderId="97" xfId="9" applyFont="1" applyFill="1" applyBorder="1" applyAlignment="1">
      <alignment horizontal="center" wrapText="1"/>
    </xf>
    <xf numFmtId="2" fontId="67" fillId="0" borderId="98" xfId="9" applyNumberFormat="1" applyFont="1" applyFill="1" applyBorder="1" applyAlignment="1">
      <alignment horizontal="center" wrapText="1"/>
    </xf>
    <xf numFmtId="1" fontId="67" fillId="0" borderId="98" xfId="9" applyNumberFormat="1" applyFont="1" applyFill="1" applyBorder="1" applyAlignment="1">
      <alignment horizontal="center" wrapText="1"/>
    </xf>
    <xf numFmtId="0" fontId="67" fillId="0" borderId="99" xfId="9" applyFont="1" applyFill="1" applyBorder="1" applyAlignment="1">
      <alignment horizontal="center" wrapText="1"/>
    </xf>
    <xf numFmtId="0" fontId="67" fillId="0" borderId="100" xfId="9" applyFont="1" applyFill="1" applyBorder="1" applyAlignment="1">
      <alignment horizontal="center" wrapText="1"/>
    </xf>
    <xf numFmtId="2" fontId="67" fillId="0" borderId="0" xfId="9" applyNumberFormat="1" applyFont="1" applyFill="1" applyBorder="1" applyAlignment="1">
      <alignment horizontal="center" wrapText="1"/>
    </xf>
    <xf numFmtId="1" fontId="67" fillId="0" borderId="0" xfId="9" applyNumberFormat="1" applyFont="1" applyFill="1" applyBorder="1" applyAlignment="1">
      <alignment horizontal="center" wrapText="1"/>
    </xf>
    <xf numFmtId="0" fontId="67" fillId="0" borderId="0" xfId="9" applyFont="1" applyFill="1" applyBorder="1" applyAlignment="1">
      <alignment horizontal="center" wrapText="1"/>
    </xf>
    <xf numFmtId="0" fontId="67" fillId="0" borderId="101" xfId="9" applyFont="1" applyFill="1" applyBorder="1" applyAlignment="1">
      <alignment horizontal="center" wrapText="1"/>
    </xf>
    <xf numFmtId="0" fontId="58" fillId="0" borderId="0" xfId="6" applyFont="1" applyFill="1" applyBorder="1"/>
    <xf numFmtId="2" fontId="3" fillId="0" borderId="80" xfId="6" applyNumberFormat="1" applyBorder="1" applyAlignment="1">
      <alignment horizontal="center"/>
    </xf>
    <xf numFmtId="1" fontId="3" fillId="0" borderId="80" xfId="6" applyNumberFormat="1" applyBorder="1" applyAlignment="1">
      <alignment horizontal="center"/>
    </xf>
    <xf numFmtId="0" fontId="3" fillId="0" borderId="80" xfId="6" applyBorder="1" applyAlignment="1">
      <alignment horizontal="center"/>
    </xf>
    <xf numFmtId="0" fontId="3" fillId="0" borderId="81" xfId="6" applyBorder="1" applyAlignment="1">
      <alignment horizontal="center"/>
    </xf>
    <xf numFmtId="0" fontId="67" fillId="0" borderId="102" xfId="9" applyFont="1" applyFill="1" applyBorder="1" applyAlignment="1">
      <alignment horizontal="center" wrapText="1"/>
    </xf>
    <xf numFmtId="2" fontId="67" fillId="0" borderId="103" xfId="9" applyNumberFormat="1" applyFont="1" applyFill="1" applyBorder="1" applyAlignment="1">
      <alignment horizontal="center" wrapText="1"/>
    </xf>
    <xf numFmtId="1" fontId="67" fillId="0" borderId="103" xfId="9" applyNumberFormat="1" applyFont="1" applyFill="1" applyBorder="1" applyAlignment="1">
      <alignment horizontal="center" wrapText="1"/>
    </xf>
    <xf numFmtId="0" fontId="67" fillId="0" borderId="104" xfId="9" applyFont="1" applyFill="1" applyBorder="1" applyAlignment="1">
      <alignment horizontal="center" wrapText="1"/>
    </xf>
    <xf numFmtId="0" fontId="3" fillId="0" borderId="100" xfId="6" applyBorder="1" applyAlignment="1">
      <alignment horizontal="center"/>
    </xf>
    <xf numFmtId="2" fontId="3" fillId="0" borderId="0" xfId="6" applyNumberFormat="1" applyBorder="1" applyAlignment="1">
      <alignment horizontal="center"/>
    </xf>
    <xf numFmtId="0" fontId="3" fillId="0" borderId="101" xfId="6" applyBorder="1" applyAlignment="1">
      <alignment horizontal="center"/>
    </xf>
    <xf numFmtId="0" fontId="58" fillId="0" borderId="0" xfId="6" applyFont="1"/>
    <xf numFmtId="2" fontId="35" fillId="0" borderId="80" xfId="6" applyNumberFormat="1" applyFont="1" applyBorder="1" applyAlignment="1">
      <alignment horizontal="center"/>
    </xf>
    <xf numFmtId="0" fontId="67" fillId="0" borderId="105" xfId="9" applyFont="1" applyFill="1" applyBorder="1" applyAlignment="1">
      <alignment horizontal="center" wrapText="1"/>
    </xf>
    <xf numFmtId="2" fontId="67" fillId="0" borderId="29" xfId="9" applyNumberFormat="1" applyFont="1" applyFill="1" applyBorder="1" applyAlignment="1">
      <alignment horizontal="center" wrapText="1"/>
    </xf>
    <xf numFmtId="1" fontId="67" fillId="0" borderId="29" xfId="9" applyNumberFormat="1" applyFont="1" applyFill="1" applyBorder="1" applyAlignment="1">
      <alignment horizontal="center" wrapText="1"/>
    </xf>
    <xf numFmtId="0" fontId="67" fillId="0" borderId="106" xfId="9" applyFont="1" applyFill="1" applyBorder="1" applyAlignment="1">
      <alignment horizontal="center" wrapText="1"/>
    </xf>
    <xf numFmtId="0" fontId="3" fillId="0" borderId="107" xfId="6" applyBorder="1"/>
    <xf numFmtId="0" fontId="3" fillId="0" borderId="108" xfId="6" applyBorder="1"/>
    <xf numFmtId="0" fontId="3" fillId="0" borderId="109" xfId="6" applyBorder="1"/>
    <xf numFmtId="165" fontId="69" fillId="0" borderId="0" xfId="10" applyNumberFormat="1" applyFont="1" applyBorder="1" applyAlignment="1">
      <alignment horizontal="center"/>
    </xf>
    <xf numFmtId="0" fontId="68" fillId="0" borderId="0" xfId="6" applyFont="1" applyAlignment="1">
      <alignment horizontal="right"/>
    </xf>
    <xf numFmtId="0" fontId="68" fillId="0" borderId="0" xfId="6" applyFont="1"/>
    <xf numFmtId="44" fontId="69" fillId="0" borderId="0" xfId="10" applyFont="1" applyBorder="1" applyAlignment="1">
      <alignment horizontal="right"/>
    </xf>
    <xf numFmtId="0" fontId="69" fillId="0" borderId="0" xfId="6" applyFont="1" applyBorder="1"/>
    <xf numFmtId="2" fontId="67" fillId="0" borderId="117" xfId="9" applyNumberFormat="1" applyFont="1" applyFill="1" applyBorder="1" applyAlignment="1">
      <alignment horizontal="center" wrapText="1"/>
    </xf>
    <xf numFmtId="1" fontId="67" fillId="0" borderId="117" xfId="9" applyNumberFormat="1" applyFont="1" applyFill="1" applyBorder="1" applyAlignment="1">
      <alignment horizontal="center" wrapText="1"/>
    </xf>
    <xf numFmtId="0" fontId="67" fillId="0" borderId="118" xfId="9" applyFont="1" applyFill="1" applyBorder="1" applyAlignment="1">
      <alignment horizontal="center" wrapText="1"/>
    </xf>
    <xf numFmtId="1" fontId="58" fillId="0" borderId="0" xfId="6" applyNumberFormat="1" applyFont="1"/>
    <xf numFmtId="0" fontId="67" fillId="0" borderId="119" xfId="9" applyFont="1" applyFill="1" applyBorder="1" applyAlignment="1">
      <alignment horizontal="center" wrapText="1"/>
    </xf>
    <xf numFmtId="2" fontId="67" fillId="0" borderId="120" xfId="9" applyNumberFormat="1" applyFont="1" applyFill="1" applyBorder="1" applyAlignment="1">
      <alignment horizontal="center" wrapText="1"/>
    </xf>
    <xf numFmtId="1" fontId="67" fillId="0" borderId="120" xfId="9" applyNumberFormat="1" applyFont="1" applyFill="1" applyBorder="1" applyAlignment="1">
      <alignment horizontal="center" wrapText="1"/>
    </xf>
    <xf numFmtId="0" fontId="67" fillId="0" borderId="121" xfId="9" applyFont="1" applyFill="1" applyBorder="1" applyAlignment="1">
      <alignment horizontal="center" wrapText="1"/>
    </xf>
    <xf numFmtId="2" fontId="67" fillId="0" borderId="37" xfId="9" applyNumberFormat="1" applyFont="1" applyFill="1" applyBorder="1" applyAlignment="1">
      <alignment horizontal="center" wrapText="1"/>
    </xf>
    <xf numFmtId="1" fontId="67" fillId="0" borderId="52" xfId="9" applyNumberFormat="1" applyFont="1" applyFill="1" applyBorder="1" applyAlignment="1">
      <alignment horizontal="center" wrapText="1"/>
    </xf>
    <xf numFmtId="1" fontId="67" fillId="0" borderId="36" xfId="9" applyNumberFormat="1" applyFont="1" applyFill="1" applyBorder="1" applyAlignment="1">
      <alignment horizontal="center" wrapText="1"/>
    </xf>
    <xf numFmtId="0" fontId="3" fillId="0" borderId="0" xfId="6" applyAlignment="1">
      <alignment horizontal="right"/>
    </xf>
    <xf numFmtId="5" fontId="0" fillId="0" borderId="0" xfId="10" applyNumberFormat="1" applyFont="1" applyAlignment="1">
      <alignment horizontal="center"/>
    </xf>
    <xf numFmtId="1" fontId="3" fillId="0" borderId="0" xfId="6" applyNumberFormat="1" applyAlignment="1">
      <alignment horizontal="center"/>
    </xf>
    <xf numFmtId="0" fontId="3" fillId="0" borderId="22" xfId="6" applyBorder="1"/>
    <xf numFmtId="0" fontId="70" fillId="0" borderId="22" xfId="6" applyFont="1" applyBorder="1"/>
    <xf numFmtId="0" fontId="3" fillId="0" borderId="33" xfId="6" applyBorder="1"/>
    <xf numFmtId="0" fontId="3" fillId="0" borderId="129" xfId="6" applyBorder="1"/>
    <xf numFmtId="0" fontId="3" fillId="0" borderId="110" xfId="6" applyBorder="1" applyAlignment="1">
      <alignment horizontal="left" vertical="top"/>
    </xf>
    <xf numFmtId="0" fontId="51" fillId="0" borderId="110" xfId="6" applyFont="1" applyBorder="1"/>
    <xf numFmtId="0" fontId="3" fillId="0" borderId="110" xfId="6" applyBorder="1"/>
    <xf numFmtId="0" fontId="3" fillId="0" borderId="22" xfId="6" applyBorder="1" applyAlignment="1">
      <alignment vertical="top" wrapText="1"/>
    </xf>
    <xf numFmtId="0" fontId="3" fillId="0" borderId="110" xfId="6" applyBorder="1" applyAlignment="1">
      <alignment horizontal="right" wrapText="1"/>
    </xf>
    <xf numFmtId="0" fontId="3" fillId="0" borderId="110" xfId="6" applyBorder="1" applyAlignment="1">
      <alignment horizontal="right"/>
    </xf>
    <xf numFmtId="0" fontId="3" fillId="0" borderId="33" xfId="6" applyBorder="1" applyAlignment="1">
      <alignment horizontal="left" vertical="top" wrapText="1"/>
    </xf>
    <xf numFmtId="0" fontId="3" fillId="0" borderId="129" xfId="6" applyBorder="1" applyAlignment="1">
      <alignment horizontal="left" vertical="top" wrapText="1"/>
    </xf>
    <xf numFmtId="0" fontId="3" fillId="0" borderId="110" xfId="6" applyBorder="1" applyAlignment="1">
      <alignment horizontal="left" vertical="top" wrapText="1"/>
    </xf>
    <xf numFmtId="0" fontId="3" fillId="0" borderId="22" xfId="6" applyBorder="1" applyAlignment="1">
      <alignment horizontal="left" vertical="top" wrapText="1"/>
    </xf>
    <xf numFmtId="0" fontId="3" fillId="0" borderId="129" xfId="6" applyBorder="1" applyAlignment="1">
      <alignment horizontal="left" vertical="top"/>
    </xf>
    <xf numFmtId="0" fontId="3" fillId="0" borderId="130" xfId="6" applyBorder="1" applyAlignment="1">
      <alignment horizontal="left" vertical="top"/>
    </xf>
    <xf numFmtId="0" fontId="3" fillId="0" borderId="37" xfId="6" applyBorder="1" applyAlignment="1">
      <alignment horizontal="left" vertical="top"/>
    </xf>
    <xf numFmtId="0" fontId="3" fillId="0" borderId="33" xfId="6" applyFill="1" applyBorder="1" applyAlignment="1">
      <alignment horizontal="left" vertical="top" wrapText="1"/>
    </xf>
    <xf numFmtId="0" fontId="3" fillId="0" borderId="131" xfId="6" applyBorder="1" applyAlignment="1">
      <alignment horizontal="left" vertical="top"/>
    </xf>
    <xf numFmtId="0" fontId="3" fillId="0" borderId="131" xfId="6" applyBorder="1"/>
    <xf numFmtId="0" fontId="3" fillId="0" borderId="132" xfId="6" applyFill="1" applyBorder="1" applyAlignment="1">
      <alignment horizontal="left" vertical="top" wrapText="1"/>
    </xf>
    <xf numFmtId="0" fontId="3" fillId="0" borderId="132" xfId="6" applyBorder="1"/>
    <xf numFmtId="0" fontId="3" fillId="0" borderId="133" xfId="6" applyFill="1" applyBorder="1" applyAlignment="1">
      <alignment horizontal="left" vertical="top" wrapText="1"/>
    </xf>
    <xf numFmtId="0" fontId="3" fillId="0" borderId="133" xfId="6" applyBorder="1"/>
    <xf numFmtId="0" fontId="3" fillId="0" borderId="0" xfId="6" applyAlignment="1">
      <alignment vertical="center"/>
    </xf>
    <xf numFmtId="0" fontId="3" fillId="0" borderId="0" xfId="6" applyFill="1" applyBorder="1" applyAlignment="1">
      <alignment horizontal="left" vertical="top" wrapText="1"/>
    </xf>
    <xf numFmtId="15" fontId="3" fillId="0" borderId="0" xfId="6" quotePrefix="1" applyNumberFormat="1" applyProtection="1">
      <protection locked="0"/>
    </xf>
    <xf numFmtId="0" fontId="3" fillId="0" borderId="0" xfId="6" quotePrefix="1"/>
    <xf numFmtId="17" fontId="3" fillId="0" borderId="0" xfId="6" quotePrefix="1" applyNumberFormat="1"/>
    <xf numFmtId="9" fontId="3" fillId="0" borderId="0" xfId="6" quotePrefix="1" applyNumberFormat="1"/>
    <xf numFmtId="10" fontId="3" fillId="0" borderId="0" xfId="6" quotePrefix="1" applyNumberFormat="1"/>
    <xf numFmtId="43" fontId="36" fillId="0" borderId="22" xfId="1" applyNumberFormat="1" applyFont="1" applyBorder="1"/>
    <xf numFmtId="0" fontId="5" fillId="15" borderId="0" xfId="0" applyFont="1" applyFill="1" applyAlignment="1">
      <alignment horizontal="right"/>
    </xf>
    <xf numFmtId="0" fontId="0" fillId="15" borderId="0" xfId="0" applyFill="1" applyAlignment="1">
      <alignment wrapText="1"/>
    </xf>
    <xf numFmtId="165" fontId="4" fillId="15" borderId="0" xfId="2" applyNumberFormat="1" applyFont="1" applyFill="1"/>
    <xf numFmtId="0" fontId="6" fillId="0" borderId="0" xfId="0" applyFont="1" applyBorder="1" applyAlignment="1">
      <alignment horizontal="center"/>
    </xf>
    <xf numFmtId="6" fontId="4" fillId="0" borderId="0" xfId="0" applyNumberFormat="1" applyFont="1" applyBorder="1" applyAlignment="1">
      <alignment horizontal="center"/>
    </xf>
    <xf numFmtId="6" fontId="6" fillId="0" borderId="0" xfId="2" applyNumberFormat="1" applyFont="1" applyBorder="1" applyAlignment="1">
      <alignment horizontal="center"/>
    </xf>
    <xf numFmtId="6" fontId="4" fillId="0" borderId="0" xfId="2" applyNumberFormat="1" applyFont="1" applyBorder="1" applyAlignment="1">
      <alignment horizontal="center"/>
    </xf>
    <xf numFmtId="6" fontId="6" fillId="0" borderId="0" xfId="0" applyNumberFormat="1" applyFont="1" applyFill="1" applyBorder="1" applyAlignment="1">
      <alignment horizontal="center"/>
    </xf>
    <xf numFmtId="6" fontId="4" fillId="0" borderId="0" xfId="0" applyNumberFormat="1" applyFont="1" applyFill="1" applyBorder="1" applyAlignment="1">
      <alignment horizontal="center"/>
    </xf>
    <xf numFmtId="43" fontId="0" fillId="0" borderId="0" xfId="1" applyNumberFormat="1" applyFont="1" applyBorder="1" applyAlignment="1">
      <alignment horizontal="center"/>
    </xf>
    <xf numFmtId="165" fontId="4" fillId="15" borderId="0" xfId="2" applyNumberFormat="1" applyFont="1" applyFill="1" applyBorder="1"/>
    <xf numFmtId="0" fontId="0" fillId="15" borderId="0" xfId="0" applyFill="1" applyAlignment="1">
      <alignment horizontal="center"/>
    </xf>
    <xf numFmtId="0" fontId="7" fillId="15" borderId="0" xfId="0" applyFont="1" applyFill="1" applyAlignment="1">
      <alignment horizontal="center" wrapText="1"/>
    </xf>
    <xf numFmtId="0" fontId="4" fillId="15" borderId="0" xfId="0" applyFont="1" applyFill="1" applyAlignment="1">
      <alignment horizontal="center"/>
    </xf>
    <xf numFmtId="0" fontId="4" fillId="15" borderId="0" xfId="0" applyFont="1" applyFill="1" applyBorder="1" applyAlignment="1">
      <alignment horizontal="center"/>
    </xf>
    <xf numFmtId="0" fontId="5" fillId="16" borderId="9" xfId="0" applyFont="1" applyFill="1" applyBorder="1" applyAlignment="1">
      <alignment horizontal="center" wrapText="1"/>
    </xf>
    <xf numFmtId="165" fontId="4" fillId="0" borderId="0" xfId="2" applyNumberFormat="1" applyFont="1" applyFill="1"/>
    <xf numFmtId="0" fontId="4" fillId="0" borderId="0" xfId="0" applyFont="1" applyFill="1" applyAlignment="1">
      <alignment horizontal="center"/>
    </xf>
    <xf numFmtId="6" fontId="5" fillId="7" borderId="42" xfId="0" applyNumberFormat="1" applyFont="1" applyFill="1" applyBorder="1" applyAlignment="1">
      <alignment horizontal="center"/>
    </xf>
    <xf numFmtId="6" fontId="5" fillId="7" borderId="44" xfId="0" applyNumberFormat="1" applyFont="1" applyFill="1" applyBorder="1" applyAlignment="1">
      <alignment horizontal="center" wrapText="1"/>
    </xf>
    <xf numFmtId="6" fontId="5" fillId="7" borderId="134" xfId="0" applyNumberFormat="1" applyFont="1" applyFill="1" applyBorder="1" applyAlignment="1">
      <alignment horizontal="center"/>
    </xf>
    <xf numFmtId="2" fontId="5" fillId="16" borderId="44" xfId="0" applyNumberFormat="1" applyFont="1" applyFill="1" applyBorder="1" applyAlignment="1">
      <alignment horizontal="center" wrapText="1"/>
    </xf>
    <xf numFmtId="0" fontId="5" fillId="16" borderId="134" xfId="0" applyFont="1" applyFill="1" applyBorder="1" applyAlignment="1">
      <alignment horizontal="center" wrapText="1"/>
    </xf>
    <xf numFmtId="0" fontId="5" fillId="20" borderId="134" xfId="0" applyFont="1" applyFill="1" applyBorder="1" applyAlignment="1">
      <alignment horizontal="center" wrapText="1"/>
    </xf>
    <xf numFmtId="0" fontId="5" fillId="20" borderId="44" xfId="0" applyFont="1" applyFill="1" applyBorder="1" applyAlignment="1">
      <alignment horizontal="center"/>
    </xf>
    <xf numFmtId="0" fontId="3" fillId="19" borderId="22" xfId="6" applyFont="1" applyFill="1" applyBorder="1" applyAlignment="1">
      <alignment horizontal="center"/>
    </xf>
    <xf numFmtId="0" fontId="34" fillId="19" borderId="22" xfId="6" applyFont="1" applyFill="1" applyBorder="1" applyAlignment="1">
      <alignment horizontal="center"/>
    </xf>
    <xf numFmtId="0" fontId="3" fillId="0" borderId="22" xfId="6" applyFont="1" applyBorder="1" applyAlignment="1">
      <alignment horizontal="center"/>
    </xf>
    <xf numFmtId="0" fontId="3" fillId="0" borderId="22" xfId="6" applyFont="1" applyBorder="1"/>
    <xf numFmtId="0" fontId="34" fillId="0" borderId="22" xfId="6" applyFont="1" applyBorder="1" applyAlignment="1">
      <alignment horizontal="left"/>
    </xf>
    <xf numFmtId="0" fontId="34" fillId="0" borderId="22" xfId="6" applyFont="1" applyBorder="1"/>
    <xf numFmtId="0" fontId="3" fillId="0" borderId="0" xfId="6" applyFont="1" applyAlignment="1">
      <alignment horizontal="center"/>
    </xf>
    <xf numFmtId="0" fontId="3" fillId="0" borderId="22" xfId="6" applyFont="1" applyFill="1" applyBorder="1" applyAlignment="1">
      <alignment horizontal="center"/>
    </xf>
    <xf numFmtId="167" fontId="50" fillId="6" borderId="22" xfId="1" applyNumberFormat="1" applyFont="1" applyFill="1" applyBorder="1"/>
    <xf numFmtId="167" fontId="72" fillId="6" borderId="22" xfId="1" applyNumberFormat="1" applyFont="1" applyFill="1" applyBorder="1"/>
    <xf numFmtId="178" fontId="4" fillId="0" borderId="0" xfId="0" applyNumberFormat="1" applyFont="1" applyAlignment="1">
      <alignment horizontal="center"/>
    </xf>
    <xf numFmtId="178" fontId="6" fillId="0" borderId="0" xfId="0" applyNumberFormat="1" applyFont="1" applyBorder="1" applyAlignment="1">
      <alignment horizontal="center"/>
    </xf>
    <xf numFmtId="178" fontId="6" fillId="0" borderId="0" xfId="0" applyNumberFormat="1" applyFont="1" applyAlignment="1">
      <alignment horizontal="center"/>
    </xf>
    <xf numFmtId="0" fontId="2" fillId="0" borderId="0" xfId="11" applyFont="1"/>
    <xf numFmtId="165" fontId="34" fillId="0" borderId="0" xfId="12" applyNumberFormat="1" applyFont="1"/>
    <xf numFmtId="0" fontId="2" fillId="0" borderId="0" xfId="11" applyFont="1" applyFill="1" applyAlignment="1">
      <alignment wrapText="1"/>
    </xf>
    <xf numFmtId="0" fontId="70" fillId="0" borderId="0" xfId="11" applyFont="1" applyFill="1" applyAlignment="1">
      <alignment horizontal="center" wrapText="1"/>
    </xf>
    <xf numFmtId="165" fontId="34" fillId="0" borderId="0" xfId="12" applyNumberFormat="1" applyFont="1" applyFill="1" applyAlignment="1">
      <alignment wrapText="1"/>
    </xf>
    <xf numFmtId="0" fontId="2" fillId="0" borderId="0" xfId="11" applyFont="1" applyFill="1"/>
    <xf numFmtId="0" fontId="34" fillId="0" borderId="0" xfId="11" applyFont="1" applyFill="1" applyAlignment="1">
      <alignment horizontal="center"/>
    </xf>
    <xf numFmtId="165" fontId="34" fillId="0" borderId="0" xfId="12" applyNumberFormat="1" applyFont="1" applyFill="1" applyAlignment="1">
      <alignment horizontal="center"/>
    </xf>
    <xf numFmtId="0" fontId="34" fillId="21" borderId="0" xfId="11" applyFont="1" applyFill="1" applyAlignment="1">
      <alignment horizontal="center"/>
    </xf>
    <xf numFmtId="165" fontId="34" fillId="0" borderId="0" xfId="12" applyNumberFormat="1" applyFont="1" applyFill="1"/>
    <xf numFmtId="0" fontId="34" fillId="0" borderId="0" xfId="11" applyFont="1" applyFill="1" applyAlignment="1">
      <alignment horizontal="left"/>
    </xf>
    <xf numFmtId="165" fontId="2" fillId="0" borderId="0" xfId="13" applyNumberFormat="1" applyFont="1" applyFill="1"/>
    <xf numFmtId="165" fontId="70" fillId="0" borderId="0" xfId="12" applyNumberFormat="1" applyFont="1" applyFill="1"/>
    <xf numFmtId="0" fontId="34" fillId="0" borderId="0" xfId="11" applyFont="1" applyFill="1"/>
    <xf numFmtId="165" fontId="34" fillId="0" borderId="0" xfId="13" applyNumberFormat="1" applyFont="1" applyFill="1"/>
    <xf numFmtId="167" fontId="2" fillId="0" borderId="0" xfId="11" applyNumberFormat="1" applyFont="1" applyFill="1"/>
    <xf numFmtId="43" fontId="2" fillId="0" borderId="0" xfId="11" applyNumberFormat="1" applyFont="1" applyFill="1"/>
    <xf numFmtId="167" fontId="70" fillId="0" borderId="0" xfId="14" applyNumberFormat="1" applyFont="1" applyFill="1"/>
    <xf numFmtId="44" fontId="2" fillId="0" borderId="0" xfId="11" applyNumberFormat="1" applyFont="1" applyFill="1"/>
    <xf numFmtId="0" fontId="70" fillId="0" borderId="0" xfId="11" applyFont="1" applyFill="1"/>
    <xf numFmtId="9" fontId="2" fillId="0" borderId="0" xfId="11" applyNumberFormat="1" applyFont="1" applyFill="1"/>
    <xf numFmtId="165" fontId="2" fillId="0" borderId="0" xfId="11" applyNumberFormat="1" applyFont="1" applyFill="1"/>
    <xf numFmtId="166" fontId="2" fillId="0" borderId="0" xfId="14" applyNumberFormat="1" applyFont="1" applyFill="1"/>
    <xf numFmtId="166" fontId="34" fillId="0" borderId="0" xfId="14" applyNumberFormat="1" applyFont="1" applyFill="1"/>
    <xf numFmtId="167" fontId="2" fillId="0" borderId="0" xfId="14" applyNumberFormat="1" applyFont="1" applyFill="1"/>
    <xf numFmtId="9" fontId="2" fillId="0" borderId="0" xfId="15" applyFont="1" applyFill="1"/>
    <xf numFmtId="44" fontId="42" fillId="0" borderId="0" xfId="12" applyFont="1" applyFill="1"/>
    <xf numFmtId="0" fontId="42" fillId="0" borderId="0" xfId="11" applyFont="1" applyFill="1"/>
    <xf numFmtId="44" fontId="42" fillId="0" borderId="0" xfId="11" applyNumberFormat="1" applyFont="1" applyFill="1"/>
    <xf numFmtId="165" fontId="2" fillId="0" borderId="0" xfId="12" applyNumberFormat="1" applyFont="1" applyFill="1"/>
    <xf numFmtId="44" fontId="42" fillId="0" borderId="0" xfId="12" applyNumberFormat="1" applyFont="1" applyFill="1"/>
    <xf numFmtId="165" fontId="42" fillId="0" borderId="0" xfId="12" applyNumberFormat="1" applyFont="1" applyFill="1"/>
    <xf numFmtId="44" fontId="42" fillId="0" borderId="0" xfId="13" applyNumberFormat="1" applyFont="1" applyFill="1"/>
    <xf numFmtId="165" fontId="70" fillId="0" borderId="0" xfId="13" applyNumberFormat="1" applyFont="1" applyFill="1"/>
    <xf numFmtId="165" fontId="73" fillId="0" borderId="0" xfId="12" applyNumberFormat="1" applyFont="1" applyFill="1"/>
    <xf numFmtId="43" fontId="2" fillId="0" borderId="0" xfId="14" applyFont="1" applyFill="1"/>
    <xf numFmtId="2" fontId="2" fillId="0" borderId="0" xfId="11" applyNumberFormat="1" applyFont="1" applyFill="1"/>
    <xf numFmtId="2" fontId="2" fillId="0" borderId="0" xfId="13" applyNumberFormat="1" applyFont="1" applyFill="1"/>
    <xf numFmtId="0" fontId="42" fillId="0" borderId="0" xfId="0" applyFont="1" applyBorder="1"/>
    <xf numFmtId="9" fontId="42" fillId="0" borderId="0" xfId="15" applyFont="1" applyBorder="1"/>
    <xf numFmtId="0" fontId="72" fillId="0" borderId="0" xfId="0" applyFont="1" applyBorder="1"/>
    <xf numFmtId="9" fontId="72" fillId="0" borderId="0" xfId="15" applyFont="1" applyBorder="1"/>
    <xf numFmtId="179" fontId="2" fillId="0" borderId="0" xfId="11" applyNumberFormat="1" applyFont="1" applyFill="1"/>
    <xf numFmtId="165" fontId="34" fillId="0" borderId="0" xfId="11" applyNumberFormat="1" applyFont="1" applyFill="1"/>
    <xf numFmtId="180" fontId="2" fillId="0" borderId="0" xfId="11" applyNumberFormat="1" applyFont="1" applyFill="1"/>
    <xf numFmtId="0" fontId="73" fillId="0" borderId="0" xfId="11" applyFont="1" applyFill="1"/>
    <xf numFmtId="165" fontId="42" fillId="0" borderId="0" xfId="13" applyNumberFormat="1" applyFont="1" applyFill="1"/>
    <xf numFmtId="165" fontId="2" fillId="0" borderId="0" xfId="16" applyNumberFormat="1" applyFont="1" applyFill="1"/>
    <xf numFmtId="165" fontId="70" fillId="0" borderId="0" xfId="11" applyNumberFormat="1" applyFont="1" applyFill="1"/>
    <xf numFmtId="44" fontId="70" fillId="0" borderId="0" xfId="13" applyNumberFormat="1" applyFont="1" applyFill="1"/>
    <xf numFmtId="181" fontId="42" fillId="0" borderId="0" xfId="16" applyNumberFormat="1" applyFont="1" applyFill="1"/>
    <xf numFmtId="182" fontId="2" fillId="0" borderId="0" xfId="11" applyNumberFormat="1" applyFont="1" applyFill="1"/>
    <xf numFmtId="0" fontId="2" fillId="0" borderId="0" xfId="11" applyFont="1" applyFill="1" applyAlignment="1">
      <alignment horizontal="right"/>
    </xf>
    <xf numFmtId="165" fontId="2" fillId="0" borderId="0" xfId="12" applyNumberFormat="1" applyFont="1"/>
    <xf numFmtId="165" fontId="2" fillId="0" borderId="0" xfId="11" applyNumberFormat="1" applyFont="1"/>
    <xf numFmtId="0" fontId="34" fillId="0" borderId="0" xfId="11" applyFont="1"/>
    <xf numFmtId="0" fontId="41" fillId="0" borderId="0" xfId="11" applyFont="1"/>
    <xf numFmtId="165" fontId="41" fillId="0" borderId="0" xfId="12" applyNumberFormat="1" applyFont="1" applyFill="1"/>
    <xf numFmtId="0" fontId="42" fillId="0" borderId="0" xfId="11" applyFont="1"/>
    <xf numFmtId="165" fontId="41" fillId="0" borderId="0" xfId="12" applyNumberFormat="1" applyFont="1"/>
    <xf numFmtId="0" fontId="41" fillId="0" borderId="0" xfId="11" applyFont="1" applyFill="1"/>
    <xf numFmtId="44" fontId="41" fillId="0" borderId="0" xfId="12" applyFont="1" applyFill="1"/>
    <xf numFmtId="175" fontId="41" fillId="0" borderId="0" xfId="15" applyNumberFormat="1" applyFont="1" applyFill="1"/>
    <xf numFmtId="165" fontId="41" fillId="0" borderId="0" xfId="11" applyNumberFormat="1" applyFont="1" applyFill="1"/>
    <xf numFmtId="0" fontId="34" fillId="8" borderId="0" xfId="11" applyFont="1" applyFill="1"/>
    <xf numFmtId="0" fontId="2" fillId="8" borderId="0" xfId="11" applyFont="1" applyFill="1"/>
    <xf numFmtId="165" fontId="34" fillId="8" borderId="0" xfId="11" applyNumberFormat="1" applyFont="1" applyFill="1"/>
    <xf numFmtId="165" fontId="34" fillId="8" borderId="0" xfId="12" applyNumberFormat="1" applyFont="1" applyFill="1"/>
    <xf numFmtId="0" fontId="34" fillId="23" borderId="0" xfId="11" applyFont="1" applyFill="1"/>
    <xf numFmtId="2" fontId="34" fillId="23" borderId="0" xfId="11" applyNumberFormat="1" applyFont="1" applyFill="1"/>
    <xf numFmtId="0" fontId="34" fillId="22" borderId="0" xfId="11" applyFont="1" applyFill="1" applyAlignment="1">
      <alignment wrapText="1"/>
    </xf>
    <xf numFmtId="0" fontId="34" fillId="9" borderId="0" xfId="11" applyFont="1" applyFill="1" applyAlignment="1">
      <alignment wrapText="1"/>
    </xf>
    <xf numFmtId="0" fontId="34" fillId="9" borderId="0" xfId="11" applyFont="1" applyFill="1"/>
    <xf numFmtId="0" fontId="2" fillId="9" borderId="0" xfId="11" applyFont="1" applyFill="1"/>
    <xf numFmtId="165" fontId="34" fillId="9" borderId="0" xfId="11" applyNumberFormat="1" applyFont="1" applyFill="1"/>
    <xf numFmtId="165" fontId="34" fillId="9" borderId="0" xfId="12" applyNumberFormat="1" applyFont="1" applyFill="1"/>
    <xf numFmtId="0" fontId="50" fillId="0" borderId="0" xfId="17" applyFont="1" applyAlignment="1">
      <alignment wrapText="1"/>
    </xf>
    <xf numFmtId="0" fontId="50" fillId="0" borderId="0" xfId="17" applyFont="1" applyFill="1" applyAlignment="1">
      <alignment wrapText="1"/>
    </xf>
    <xf numFmtId="0" fontId="76" fillId="0" borderId="135" xfId="18" applyAlignment="1">
      <alignment wrapText="1"/>
    </xf>
    <xf numFmtId="0" fontId="77" fillId="0" borderId="0" xfId="17" applyFont="1" applyBorder="1" applyAlignment="1">
      <alignment wrapText="1"/>
    </xf>
    <xf numFmtId="9" fontId="77" fillId="0" borderId="0" xfId="19" applyFont="1" applyBorder="1" applyAlignment="1">
      <alignment wrapText="1"/>
    </xf>
    <xf numFmtId="0" fontId="49" fillId="0" borderId="0" xfId="17" applyFont="1" applyBorder="1" applyAlignment="1">
      <alignment wrapText="1"/>
    </xf>
    <xf numFmtId="175" fontId="50" fillId="0" borderId="0" xfId="19" applyNumberFormat="1" applyFont="1" applyBorder="1" applyAlignment="1">
      <alignment wrapText="1"/>
    </xf>
    <xf numFmtId="0" fontId="50" fillId="0" borderId="0" xfId="17" applyFont="1" applyBorder="1" applyAlignment="1">
      <alignment wrapText="1"/>
    </xf>
    <xf numFmtId="0" fontId="49" fillId="0" borderId="27" xfId="17" applyFont="1" applyBorder="1" applyAlignment="1">
      <alignment wrapText="1"/>
    </xf>
    <xf numFmtId="0" fontId="49" fillId="0" borderId="130" xfId="17" applyFont="1" applyBorder="1" applyAlignment="1">
      <alignment wrapText="1"/>
    </xf>
    <xf numFmtId="0" fontId="49" fillId="0" borderId="27" xfId="17" applyNumberFormat="1" applyFont="1" applyBorder="1" applyAlignment="1">
      <alignment wrapText="1"/>
    </xf>
    <xf numFmtId="0" fontId="49" fillId="0" borderId="29" xfId="17" applyNumberFormat="1" applyFont="1" applyBorder="1" applyAlignment="1">
      <alignment horizontal="center" wrapText="1"/>
    </xf>
    <xf numFmtId="0" fontId="49" fillId="0" borderId="136" xfId="17" applyFont="1" applyBorder="1" applyAlignment="1">
      <alignment wrapText="1"/>
    </xf>
    <xf numFmtId="0" fontId="50" fillId="0" borderId="130" xfId="17" applyNumberFormat="1" applyFont="1" applyBorder="1" applyAlignment="1">
      <alignment wrapText="1"/>
    </xf>
    <xf numFmtId="0" fontId="50" fillId="0" borderId="0" xfId="17" applyNumberFormat="1" applyFont="1" applyBorder="1" applyAlignment="1">
      <alignment horizontal="center" wrapText="1"/>
    </xf>
    <xf numFmtId="0" fontId="50" fillId="0" borderId="54" xfId="17" applyNumberFormat="1" applyFont="1" applyBorder="1" applyAlignment="1">
      <alignment horizontal="center" wrapText="1"/>
    </xf>
    <xf numFmtId="1" fontId="50" fillId="0" borderId="0" xfId="17" applyNumberFormat="1" applyFont="1" applyBorder="1" applyAlignment="1">
      <alignment horizontal="center" wrapText="1"/>
    </xf>
    <xf numFmtId="1" fontId="50" fillId="0" borderId="54" xfId="17" applyNumberFormat="1" applyFont="1" applyBorder="1" applyAlignment="1">
      <alignment horizontal="center" wrapText="1"/>
    </xf>
    <xf numFmtId="0" fontId="77" fillId="0" borderId="0" xfId="17" applyFont="1" applyFill="1" applyBorder="1" applyAlignment="1">
      <alignment horizontal="center" wrapText="1"/>
    </xf>
    <xf numFmtId="0" fontId="50" fillId="0" borderId="0" xfId="17" applyFont="1" applyFill="1" applyBorder="1" applyAlignment="1">
      <alignment wrapText="1"/>
    </xf>
    <xf numFmtId="0" fontId="49" fillId="0" borderId="0" xfId="17" applyFont="1" applyFill="1" applyBorder="1" applyAlignment="1">
      <alignment wrapText="1"/>
    </xf>
    <xf numFmtId="0" fontId="75" fillId="0" borderId="27" xfId="0" applyFont="1" applyFill="1" applyBorder="1" applyAlignment="1">
      <alignment wrapText="1"/>
    </xf>
    <xf numFmtId="0" fontId="75" fillId="0" borderId="29" xfId="0" applyFont="1" applyFill="1" applyBorder="1" applyAlignment="1">
      <alignment wrapText="1"/>
    </xf>
    <xf numFmtId="0" fontId="75" fillId="0" borderId="28" xfId="0" applyFont="1" applyFill="1" applyBorder="1" applyAlignment="1">
      <alignment wrapText="1"/>
    </xf>
    <xf numFmtId="183" fontId="50" fillId="0" borderId="0" xfId="17" applyNumberFormat="1" applyFont="1" applyFill="1" applyBorder="1" applyAlignment="1">
      <alignment wrapText="1"/>
    </xf>
    <xf numFmtId="9" fontId="50" fillId="0" borderId="0" xfId="15" applyFont="1" applyBorder="1" applyAlignment="1">
      <alignment horizontal="center" wrapText="1"/>
    </xf>
    <xf numFmtId="9" fontId="50" fillId="0" borderId="54" xfId="15" applyFont="1" applyBorder="1" applyAlignment="1">
      <alignment horizontal="center" wrapText="1"/>
    </xf>
    <xf numFmtId="1" fontId="50" fillId="0" borderId="0" xfId="17" applyNumberFormat="1" applyFont="1" applyFill="1" applyBorder="1" applyAlignment="1">
      <alignment wrapText="1"/>
    </xf>
    <xf numFmtId="10" fontId="50" fillId="0" borderId="0" xfId="19" applyNumberFormat="1" applyFont="1" applyFill="1" applyBorder="1" applyAlignment="1">
      <alignment wrapText="1"/>
    </xf>
    <xf numFmtId="0" fontId="49" fillId="0" borderId="130" xfId="17" applyNumberFormat="1" applyFont="1" applyBorder="1" applyAlignment="1">
      <alignment wrapText="1"/>
    </xf>
    <xf numFmtId="0" fontId="50" fillId="0" borderId="27" xfId="17" applyFont="1" applyFill="1" applyBorder="1" applyAlignment="1">
      <alignment wrapText="1"/>
    </xf>
    <xf numFmtId="0" fontId="49" fillId="0" borderId="29" xfId="17" applyFont="1" applyFill="1" applyBorder="1" applyAlignment="1">
      <alignment horizontal="center" wrapText="1"/>
    </xf>
    <xf numFmtId="0" fontId="49" fillId="0" borderId="28" xfId="17" applyFont="1" applyFill="1" applyBorder="1" applyAlignment="1">
      <alignment horizontal="center" wrapText="1"/>
    </xf>
    <xf numFmtId="167" fontId="50" fillId="0" borderId="0" xfId="14" applyNumberFormat="1" applyFont="1" applyBorder="1" applyAlignment="1">
      <alignment horizontal="center" wrapText="1"/>
    </xf>
    <xf numFmtId="167" fontId="50" fillId="0" borderId="54" xfId="14" applyNumberFormat="1" applyFont="1" applyBorder="1" applyAlignment="1">
      <alignment horizontal="center" wrapText="1"/>
    </xf>
    <xf numFmtId="0" fontId="49" fillId="0" borderId="130" xfId="17" applyFont="1" applyFill="1" applyBorder="1" applyAlignment="1">
      <alignment wrapText="1"/>
    </xf>
    <xf numFmtId="0" fontId="77" fillId="0" borderId="0" xfId="17" applyFont="1" applyFill="1" applyBorder="1" applyAlignment="1">
      <alignment wrapText="1"/>
    </xf>
    <xf numFmtId="0" fontId="50" fillId="0" borderId="130" xfId="17" applyFont="1" applyBorder="1" applyAlignment="1">
      <alignment wrapText="1"/>
    </xf>
    <xf numFmtId="0" fontId="49" fillId="0" borderId="136" xfId="17" applyFont="1" applyFill="1" applyBorder="1" applyAlignment="1">
      <alignment wrapText="1"/>
    </xf>
    <xf numFmtId="1" fontId="50" fillId="0" borderId="137" xfId="17" applyNumberFormat="1" applyFont="1" applyFill="1" applyBorder="1" applyAlignment="1">
      <alignment wrapText="1"/>
    </xf>
    <xf numFmtId="2" fontId="50" fillId="0" borderId="0" xfId="17" applyNumberFormat="1" applyFont="1" applyBorder="1" applyAlignment="1">
      <alignment horizontal="center" wrapText="1"/>
    </xf>
    <xf numFmtId="2" fontId="50" fillId="0" borderId="54" xfId="17" applyNumberFormat="1" applyFont="1" applyBorder="1" applyAlignment="1">
      <alignment horizontal="center" wrapText="1"/>
    </xf>
    <xf numFmtId="0" fontId="50" fillId="0" borderId="0" xfId="17" quotePrefix="1" applyFont="1" applyFill="1" applyBorder="1" applyAlignment="1">
      <alignment wrapText="1"/>
    </xf>
    <xf numFmtId="0" fontId="49" fillId="0" borderId="27" xfId="17" applyFont="1" applyFill="1" applyBorder="1" applyAlignment="1">
      <alignment horizontal="left" wrapText="1"/>
    </xf>
    <xf numFmtId="43" fontId="50" fillId="0" borderId="0" xfId="14" applyFont="1" applyBorder="1" applyAlignment="1">
      <alignment wrapText="1"/>
    </xf>
    <xf numFmtId="0" fontId="49" fillId="0" borderId="130" xfId="17" applyFont="1" applyFill="1" applyBorder="1" applyAlignment="1">
      <alignment horizontal="left" wrapText="1"/>
    </xf>
    <xf numFmtId="43" fontId="50" fillId="0" borderId="0" xfId="14" applyFont="1" applyAlignment="1">
      <alignment wrapText="1"/>
    </xf>
    <xf numFmtId="165" fontId="50" fillId="0" borderId="130" xfId="17" applyNumberFormat="1" applyFont="1" applyBorder="1" applyAlignment="1">
      <alignment horizontal="left" wrapText="1"/>
    </xf>
    <xf numFmtId="167" fontId="50" fillId="0" borderId="0" xfId="20" applyNumberFormat="1" applyFont="1" applyBorder="1" applyAlignment="1">
      <alignment wrapText="1"/>
    </xf>
    <xf numFmtId="167" fontId="50" fillId="0" borderId="54" xfId="20" applyNumberFormat="1" applyFont="1" applyBorder="1" applyAlignment="1">
      <alignment wrapText="1"/>
    </xf>
    <xf numFmtId="0" fontId="49" fillId="0" borderId="136" xfId="17" applyFont="1" applyFill="1" applyBorder="1" applyAlignment="1">
      <alignment horizontal="left" wrapText="1"/>
    </xf>
    <xf numFmtId="43" fontId="50" fillId="0" borderId="0" xfId="14" applyFont="1" applyFill="1" applyBorder="1" applyAlignment="1">
      <alignment wrapText="1"/>
    </xf>
    <xf numFmtId="165" fontId="50" fillId="0" borderId="130" xfId="17" applyNumberFormat="1" applyFont="1" applyBorder="1" applyAlignment="1">
      <alignment wrapText="1"/>
    </xf>
    <xf numFmtId="165" fontId="49" fillId="0" borderId="130" xfId="17" applyNumberFormat="1" applyFont="1" applyBorder="1" applyAlignment="1">
      <alignment wrapText="1"/>
    </xf>
    <xf numFmtId="43" fontId="50" fillId="0" borderId="0" xfId="20" applyNumberFormat="1" applyFont="1" applyBorder="1" applyAlignment="1">
      <alignment wrapText="1"/>
    </xf>
    <xf numFmtId="43" fontId="50" fillId="0" borderId="54" xfId="20" applyNumberFormat="1" applyFont="1" applyBorder="1" applyAlignment="1">
      <alignment wrapText="1"/>
    </xf>
    <xf numFmtId="0" fontId="50" fillId="0" borderId="54" xfId="17" applyFont="1" applyBorder="1" applyAlignment="1">
      <alignment wrapText="1"/>
    </xf>
    <xf numFmtId="165" fontId="50" fillId="0" borderId="0" xfId="17" applyNumberFormat="1" applyFont="1" applyBorder="1" applyAlignment="1">
      <alignment wrapText="1"/>
    </xf>
    <xf numFmtId="165" fontId="50" fillId="0" borderId="54" xfId="17" applyNumberFormat="1" applyFont="1" applyBorder="1" applyAlignment="1">
      <alignment wrapText="1"/>
    </xf>
    <xf numFmtId="0" fontId="49" fillId="0" borderId="28" xfId="17" applyFont="1" applyFill="1" applyBorder="1" applyAlignment="1">
      <alignment wrapText="1"/>
    </xf>
    <xf numFmtId="165" fontId="50" fillId="3" borderId="137" xfId="17" applyNumberFormat="1" applyFont="1" applyFill="1" applyBorder="1" applyAlignment="1">
      <alignment wrapText="1"/>
    </xf>
    <xf numFmtId="165" fontId="50" fillId="3" borderId="138" xfId="17" applyNumberFormat="1" applyFont="1" applyFill="1" applyBorder="1" applyAlignment="1">
      <alignment wrapText="1"/>
    </xf>
    <xf numFmtId="0" fontId="77" fillId="0" borderId="29" xfId="17" applyFont="1" applyFill="1" applyBorder="1" applyAlignment="1">
      <alignment horizontal="left" vertical="top" wrapText="1"/>
    </xf>
    <xf numFmtId="0" fontId="77" fillId="0" borderId="0" xfId="17" applyFont="1" applyFill="1" applyBorder="1" applyAlignment="1"/>
    <xf numFmtId="0" fontId="50" fillId="0" borderId="29" xfId="17" applyFont="1" applyBorder="1" applyAlignment="1">
      <alignment wrapText="1"/>
    </xf>
    <xf numFmtId="0" fontId="50" fillId="0" borderId="28" xfId="17" applyFont="1" applyBorder="1" applyAlignment="1">
      <alignment wrapText="1"/>
    </xf>
    <xf numFmtId="0" fontId="49" fillId="0" borderId="54" xfId="17" applyFont="1" applyBorder="1" applyAlignment="1">
      <alignment wrapText="1"/>
    </xf>
    <xf numFmtId="0" fontId="2" fillId="0" borderId="22" xfId="6" applyFont="1" applyFill="1" applyBorder="1" applyAlignment="1">
      <alignment horizontal="left"/>
    </xf>
    <xf numFmtId="167" fontId="49" fillId="6" borderId="0" xfId="14" applyNumberFormat="1" applyFont="1" applyFill="1" applyBorder="1" applyAlignment="1">
      <alignment wrapText="1"/>
    </xf>
    <xf numFmtId="167" fontId="49" fillId="6" borderId="54" xfId="14" applyNumberFormat="1" applyFont="1" applyFill="1" applyBorder="1" applyAlignment="1">
      <alignment wrapText="1"/>
    </xf>
    <xf numFmtId="9" fontId="49" fillId="6" borderId="137" xfId="17" applyNumberFormat="1" applyFont="1" applyFill="1" applyBorder="1" applyAlignment="1">
      <alignment wrapText="1"/>
    </xf>
    <xf numFmtId="9" fontId="49" fillId="8" borderId="138" xfId="17" applyNumberFormat="1" applyFont="1" applyFill="1" applyBorder="1" applyAlignment="1">
      <alignment wrapText="1"/>
    </xf>
    <xf numFmtId="0" fontId="2" fillId="0" borderId="22" xfId="6" applyFont="1" applyBorder="1"/>
    <xf numFmtId="0" fontId="49" fillId="0" borderId="0" xfId="17" applyNumberFormat="1" applyFont="1" applyBorder="1" applyAlignment="1">
      <alignment horizontal="center" wrapText="1"/>
    </xf>
    <xf numFmtId="0" fontId="49" fillId="3" borderId="29" xfId="17" applyNumberFormat="1" applyFont="1" applyFill="1" applyBorder="1" applyAlignment="1">
      <alignment horizontal="center" wrapText="1"/>
    </xf>
    <xf numFmtId="0" fontId="50" fillId="6" borderId="0" xfId="17" applyFont="1" applyFill="1" applyAlignment="1">
      <alignment wrapText="1"/>
    </xf>
    <xf numFmtId="175" fontId="50" fillId="6" borderId="0" xfId="4" applyNumberFormat="1" applyFont="1" applyFill="1" applyAlignment="1">
      <alignment wrapText="1"/>
    </xf>
    <xf numFmtId="167" fontId="50" fillId="0" borderId="0" xfId="20" applyNumberFormat="1" applyFont="1" applyFill="1" applyBorder="1" applyAlignment="1">
      <alignment wrapText="1"/>
    </xf>
    <xf numFmtId="43" fontId="50" fillId="0" borderId="0" xfId="20" applyNumberFormat="1" applyFont="1" applyFill="1" applyBorder="1" applyAlignment="1">
      <alignment wrapText="1"/>
    </xf>
    <xf numFmtId="165" fontId="50" fillId="0" borderId="0" xfId="17" applyNumberFormat="1" applyFont="1" applyFill="1" applyBorder="1" applyAlignment="1">
      <alignment wrapText="1"/>
    </xf>
    <xf numFmtId="0" fontId="49" fillId="3" borderId="28" xfId="17" applyNumberFormat="1" applyFont="1" applyFill="1" applyBorder="1" applyAlignment="1">
      <alignment horizontal="center" wrapText="1"/>
    </xf>
    <xf numFmtId="0" fontId="49" fillId="0" borderId="0" xfId="17" applyFont="1" applyFill="1" applyBorder="1" applyAlignment="1"/>
    <xf numFmtId="0" fontId="72" fillId="6" borderId="136" xfId="0" applyFont="1" applyFill="1" applyBorder="1" applyAlignment="1">
      <alignment wrapText="1"/>
    </xf>
    <xf numFmtId="170" fontId="72" fillId="6" borderId="137" xfId="0" applyNumberFormat="1" applyFont="1" applyFill="1" applyBorder="1" applyAlignment="1">
      <alignment wrapText="1"/>
    </xf>
    <xf numFmtId="0" fontId="72" fillId="6" borderId="137" xfId="0" applyFont="1" applyFill="1" applyBorder="1" applyAlignment="1">
      <alignment wrapText="1"/>
    </xf>
    <xf numFmtId="1" fontId="72" fillId="6" borderId="137" xfId="0" applyNumberFormat="1" applyFont="1" applyFill="1" applyBorder="1" applyAlignment="1">
      <alignment wrapText="1"/>
    </xf>
    <xf numFmtId="2" fontId="72" fillId="6" borderId="138" xfId="0" applyNumberFormat="1" applyFont="1" applyFill="1" applyBorder="1" applyAlignment="1">
      <alignment wrapText="1"/>
    </xf>
    <xf numFmtId="0" fontId="72" fillId="6" borderId="0" xfId="17" applyFont="1" applyFill="1" applyBorder="1" applyAlignment="1">
      <alignment wrapText="1"/>
    </xf>
    <xf numFmtId="0" fontId="50" fillId="6" borderId="54" xfId="17" applyFont="1" applyFill="1" applyBorder="1" applyAlignment="1">
      <alignment wrapText="1"/>
    </xf>
    <xf numFmtId="2" fontId="50" fillId="6" borderId="0" xfId="17" applyNumberFormat="1" applyFont="1" applyFill="1" applyBorder="1" applyAlignment="1">
      <alignment wrapText="1"/>
    </xf>
    <xf numFmtId="2" fontId="50" fillId="6" borderId="54" xfId="17" applyNumberFormat="1" applyFont="1" applyFill="1" applyBorder="1" applyAlignment="1">
      <alignment wrapText="1"/>
    </xf>
    <xf numFmtId="1" fontId="50" fillId="6" borderId="0" xfId="17" applyNumberFormat="1" applyFont="1" applyFill="1" applyBorder="1" applyAlignment="1">
      <alignment wrapText="1"/>
    </xf>
    <xf numFmtId="1" fontId="50" fillId="6" borderId="54" xfId="17" applyNumberFormat="1" applyFont="1" applyFill="1" applyBorder="1" applyAlignment="1">
      <alignment wrapText="1"/>
    </xf>
    <xf numFmtId="9" fontId="50" fillId="6" borderId="137" xfId="15" applyFont="1" applyFill="1" applyBorder="1" applyAlignment="1">
      <alignment wrapText="1"/>
    </xf>
    <xf numFmtId="9" fontId="50" fillId="6" borderId="138" xfId="15" applyFont="1" applyFill="1" applyBorder="1" applyAlignment="1">
      <alignment wrapText="1"/>
    </xf>
    <xf numFmtId="9" fontId="50" fillId="6" borderId="0" xfId="15" applyFont="1" applyFill="1" applyBorder="1" applyAlignment="1">
      <alignment horizontal="center" wrapText="1"/>
    </xf>
    <xf numFmtId="9" fontId="50" fillId="6" borderId="54" xfId="15" applyFont="1" applyFill="1" applyBorder="1" applyAlignment="1">
      <alignment horizontal="center" wrapText="1"/>
    </xf>
    <xf numFmtId="3" fontId="50" fillId="6" borderId="0" xfId="17" applyNumberFormat="1" applyFont="1" applyFill="1" applyBorder="1" applyAlignment="1">
      <alignment horizontal="center" wrapText="1"/>
    </xf>
    <xf numFmtId="3" fontId="50" fillId="6" borderId="54" xfId="17" applyNumberFormat="1" applyFont="1" applyFill="1" applyBorder="1" applyAlignment="1">
      <alignment horizontal="center" wrapText="1"/>
    </xf>
    <xf numFmtId="0" fontId="49" fillId="8" borderId="0" xfId="17" applyFont="1" applyFill="1" applyBorder="1" applyAlignment="1">
      <alignment wrapText="1"/>
    </xf>
    <xf numFmtId="0" fontId="50" fillId="8" borderId="0" xfId="17" applyFont="1" applyFill="1" applyBorder="1" applyAlignment="1">
      <alignment wrapText="1"/>
    </xf>
    <xf numFmtId="0" fontId="49" fillId="8" borderId="27" xfId="17" applyFont="1" applyFill="1" applyBorder="1" applyAlignment="1">
      <alignment wrapText="1"/>
    </xf>
    <xf numFmtId="0" fontId="49" fillId="8" borderId="29" xfId="17" applyFont="1" applyFill="1" applyBorder="1" applyAlignment="1">
      <alignment wrapText="1"/>
    </xf>
    <xf numFmtId="0" fontId="49" fillId="8" borderId="28" xfId="17" applyFont="1" applyFill="1" applyBorder="1" applyAlignment="1">
      <alignment wrapText="1"/>
    </xf>
    <xf numFmtId="0" fontId="50" fillId="8" borderId="130" xfId="17" applyFont="1" applyFill="1" applyBorder="1" applyAlignment="1">
      <alignment wrapText="1"/>
    </xf>
    <xf numFmtId="10" fontId="50" fillId="8" borderId="0" xfId="15" applyNumberFormat="1" applyFont="1" applyFill="1" applyBorder="1" applyAlignment="1">
      <alignment wrapText="1"/>
    </xf>
    <xf numFmtId="0" fontId="77" fillId="8" borderId="54" xfId="17" applyFont="1" applyFill="1" applyBorder="1" applyAlignment="1">
      <alignment wrapText="1"/>
    </xf>
    <xf numFmtId="0" fontId="49" fillId="8" borderId="130" xfId="17" applyFont="1" applyFill="1" applyBorder="1" applyAlignment="1">
      <alignment wrapText="1"/>
    </xf>
    <xf numFmtId="0" fontId="77" fillId="8" borderId="54" xfId="17" applyFont="1" applyFill="1" applyBorder="1" applyAlignment="1">
      <alignment horizontal="left" wrapText="1"/>
    </xf>
    <xf numFmtId="0" fontId="50" fillId="8" borderId="54" xfId="17" applyFont="1" applyFill="1" applyBorder="1" applyAlignment="1">
      <alignment wrapText="1"/>
    </xf>
    <xf numFmtId="0" fontId="50" fillId="8" borderId="136" xfId="17" applyFont="1" applyFill="1" applyBorder="1" applyAlignment="1">
      <alignment wrapText="1"/>
    </xf>
    <xf numFmtId="10" fontId="50" fillId="8" borderId="137" xfId="15" applyNumberFormat="1" applyFont="1" applyFill="1" applyBorder="1" applyAlignment="1">
      <alignment wrapText="1"/>
    </xf>
    <xf numFmtId="0" fontId="50" fillId="8" borderId="138" xfId="17" applyFont="1" applyFill="1" applyBorder="1" applyAlignment="1">
      <alignment wrapText="1"/>
    </xf>
    <xf numFmtId="0" fontId="49" fillId="21" borderId="37" xfId="17" applyFont="1" applyFill="1" applyBorder="1" applyAlignment="1">
      <alignment wrapText="1"/>
    </xf>
    <xf numFmtId="0" fontId="50" fillId="21" borderId="52" xfId="17" applyFont="1" applyFill="1" applyBorder="1" applyAlignment="1">
      <alignment wrapText="1"/>
    </xf>
    <xf numFmtId="0" fontId="50" fillId="21" borderId="36" xfId="17" applyFont="1" applyFill="1" applyBorder="1" applyAlignment="1">
      <alignment wrapText="1"/>
    </xf>
    <xf numFmtId="9" fontId="50" fillId="8" borderId="28" xfId="15" applyFont="1" applyFill="1" applyBorder="1" applyAlignment="1">
      <alignment wrapText="1"/>
    </xf>
    <xf numFmtId="9" fontId="50" fillId="8" borderId="54" xfId="15" applyFont="1" applyFill="1" applyBorder="1" applyAlignment="1">
      <alignment wrapText="1"/>
    </xf>
    <xf numFmtId="10" fontId="50" fillId="8" borderId="138" xfId="19" applyNumberFormat="1" applyFont="1" applyFill="1" applyBorder="1" applyAlignment="1">
      <alignment wrapText="1"/>
    </xf>
    <xf numFmtId="0" fontId="75" fillId="0" borderId="130" xfId="0" applyFont="1" applyFill="1" applyBorder="1" applyAlignment="1">
      <alignment wrapText="1"/>
    </xf>
    <xf numFmtId="0" fontId="75" fillId="0" borderId="0" xfId="0" applyFont="1" applyFill="1" applyBorder="1" applyAlignment="1">
      <alignment wrapText="1"/>
    </xf>
    <xf numFmtId="0" fontId="75" fillId="0" borderId="54" xfId="0" applyFont="1" applyFill="1" applyBorder="1" applyAlignment="1">
      <alignment wrapText="1"/>
    </xf>
    <xf numFmtId="0" fontId="49" fillId="21" borderId="22" xfId="17" applyFont="1" applyFill="1" applyBorder="1" applyAlignment="1">
      <alignment wrapText="1"/>
    </xf>
    <xf numFmtId="0" fontId="78" fillId="0" borderId="0" xfId="0" applyFont="1" applyFill="1" applyAlignment="1"/>
    <xf numFmtId="0" fontId="64" fillId="24" borderId="0" xfId="17" applyFont="1" applyFill="1" applyAlignment="1"/>
    <xf numFmtId="0" fontId="1" fillId="0" borderId="22" xfId="6" applyFont="1" applyBorder="1"/>
    <xf numFmtId="0" fontId="50" fillId="0" borderId="28" xfId="17" applyFont="1" applyFill="1" applyBorder="1" applyAlignment="1">
      <alignment wrapText="1"/>
    </xf>
    <xf numFmtId="0" fontId="77" fillId="0" borderId="0" xfId="17" applyFont="1" applyAlignment="1">
      <alignment wrapText="1"/>
    </xf>
    <xf numFmtId="0" fontId="49" fillId="21" borderId="36" xfId="17" applyFont="1" applyFill="1" applyBorder="1" applyAlignment="1">
      <alignment wrapText="1"/>
    </xf>
    <xf numFmtId="167" fontId="50" fillId="6" borderId="0" xfId="20" applyNumberFormat="1" applyFont="1" applyFill="1" applyBorder="1" applyAlignment="1">
      <alignment wrapText="1"/>
    </xf>
    <xf numFmtId="167" fontId="50" fillId="6" borderId="54" xfId="20" applyNumberFormat="1" applyFont="1" applyFill="1" applyBorder="1" applyAlignment="1">
      <alignment wrapText="1"/>
    </xf>
    <xf numFmtId="0" fontId="80" fillId="0" borderId="0" xfId="0" applyFont="1" applyFill="1" applyAlignment="1">
      <alignment horizontal="left" vertical="top" wrapText="1"/>
    </xf>
    <xf numFmtId="0" fontId="80" fillId="0" borderId="139" xfId="0" applyFont="1" applyFill="1" applyBorder="1" applyAlignment="1">
      <alignment horizontal="center" wrapText="1"/>
    </xf>
    <xf numFmtId="0" fontId="80" fillId="0" borderId="0" xfId="0" applyFont="1" applyFill="1" applyAlignment="1">
      <alignment horizontal="left"/>
    </xf>
    <xf numFmtId="184" fontId="65" fillId="0" borderId="0" xfId="0" applyNumberFormat="1" applyFont="1" applyFill="1" applyAlignment="1">
      <alignment horizontal="right"/>
    </xf>
    <xf numFmtId="185" fontId="65" fillId="0" borderId="0" xfId="0" applyNumberFormat="1" applyFont="1" applyFill="1" applyAlignment="1">
      <alignment horizontal="right"/>
    </xf>
    <xf numFmtId="44" fontId="50" fillId="8" borderId="54" xfId="21" applyFont="1" applyFill="1" applyBorder="1" applyAlignment="1">
      <alignment wrapText="1"/>
    </xf>
    <xf numFmtId="44" fontId="50" fillId="8" borderId="138" xfId="21" applyFont="1" applyFill="1" applyBorder="1" applyAlignment="1">
      <alignment wrapText="1"/>
    </xf>
    <xf numFmtId="182" fontId="50" fillId="0" borderId="0" xfId="17" applyNumberFormat="1" applyFont="1" applyFill="1" applyBorder="1" applyAlignment="1">
      <alignment wrapText="1"/>
    </xf>
    <xf numFmtId="170" fontId="50" fillId="0" borderId="0" xfId="17" applyNumberFormat="1" applyFont="1" applyFill="1" applyBorder="1" applyAlignment="1">
      <alignment wrapText="1"/>
    </xf>
    <xf numFmtId="0" fontId="50" fillId="0" borderId="54" xfId="17" applyFont="1" applyFill="1" applyBorder="1" applyAlignment="1">
      <alignment wrapText="1"/>
    </xf>
    <xf numFmtId="0" fontId="49" fillId="0" borderId="54" xfId="17" applyFont="1" applyFill="1" applyBorder="1" applyAlignment="1">
      <alignment wrapText="1"/>
    </xf>
    <xf numFmtId="0" fontId="50" fillId="6" borderId="0" xfId="17" applyFont="1" applyFill="1" applyBorder="1" applyAlignment="1">
      <alignment wrapText="1"/>
    </xf>
    <xf numFmtId="170" fontId="50" fillId="6" borderId="0" xfId="17" applyNumberFormat="1" applyFont="1" applyFill="1" applyBorder="1" applyAlignment="1">
      <alignment wrapText="1"/>
    </xf>
    <xf numFmtId="170" fontId="50" fillId="6" borderId="54" xfId="17" applyNumberFormat="1" applyFont="1" applyFill="1" applyBorder="1" applyAlignment="1">
      <alignment wrapText="1"/>
    </xf>
    <xf numFmtId="0" fontId="50" fillId="6" borderId="137" xfId="17" applyFont="1" applyFill="1" applyBorder="1" applyAlignment="1">
      <alignment wrapText="1"/>
    </xf>
    <xf numFmtId="170" fontId="50" fillId="6" borderId="137" xfId="17" applyNumberFormat="1" applyFont="1" applyFill="1" applyBorder="1" applyAlignment="1">
      <alignment wrapText="1"/>
    </xf>
    <xf numFmtId="170" fontId="50" fillId="6" borderId="138" xfId="17" applyNumberFormat="1" applyFont="1" applyFill="1" applyBorder="1" applyAlignment="1">
      <alignment wrapText="1"/>
    </xf>
    <xf numFmtId="0" fontId="3" fillId="0" borderId="33" xfId="6" applyBorder="1" applyAlignment="1">
      <alignment horizontal="left" vertical="top" wrapText="1"/>
    </xf>
    <xf numFmtId="0" fontId="3" fillId="0" borderId="129" xfId="6" applyBorder="1" applyAlignment="1">
      <alignment horizontal="left" vertical="top" wrapText="1"/>
    </xf>
    <xf numFmtId="0" fontId="3" fillId="0" borderId="33" xfId="6" applyBorder="1" applyAlignment="1">
      <alignment vertical="top" wrapText="1"/>
    </xf>
    <xf numFmtId="0" fontId="3" fillId="0" borderId="110" xfId="6" applyBorder="1" applyAlignment="1">
      <alignment vertical="top" wrapText="1"/>
    </xf>
    <xf numFmtId="0" fontId="3" fillId="0" borderId="33" xfId="6" applyBorder="1" applyAlignment="1">
      <alignment horizontal="right" wrapText="1"/>
    </xf>
    <xf numFmtId="0" fontId="3" fillId="0" borderId="129" xfId="6" applyBorder="1" applyAlignment="1">
      <alignment horizontal="right" wrapText="1"/>
    </xf>
    <xf numFmtId="0" fontId="3" fillId="0" borderId="110" xfId="6" applyBorder="1" applyAlignment="1">
      <alignment horizontal="left" vertical="top" wrapText="1"/>
    </xf>
    <xf numFmtId="0" fontId="3" fillId="0" borderId="23" xfId="6" applyBorder="1" applyAlignment="1"/>
    <xf numFmtId="0" fontId="3" fillId="0" borderId="0" xfId="6" applyAlignment="1"/>
    <xf numFmtId="0" fontId="3" fillId="0" borderId="54" xfId="6" applyBorder="1" applyAlignment="1"/>
    <xf numFmtId="0" fontId="3" fillId="0" borderId="27" xfId="6" applyBorder="1" applyAlignment="1"/>
    <xf numFmtId="0" fontId="3" fillId="0" borderId="29" xfId="6" applyBorder="1" applyAlignment="1"/>
    <xf numFmtId="0" fontId="3" fillId="0" borderId="28" xfId="6" applyBorder="1" applyAlignment="1"/>
    <xf numFmtId="0" fontId="50" fillId="0" borderId="23" xfId="6" applyFont="1" applyBorder="1" applyAlignment="1"/>
    <xf numFmtId="0" fontId="50" fillId="0" borderId="0" xfId="6" applyFont="1" applyAlignment="1"/>
    <xf numFmtId="0" fontId="50" fillId="0" borderId="54" xfId="6" applyFont="1" applyBorder="1" applyAlignment="1"/>
    <xf numFmtId="0" fontId="3" fillId="13" borderId="23" xfId="6" applyFill="1" applyBorder="1" applyAlignment="1"/>
    <xf numFmtId="0" fontId="3" fillId="13" borderId="0" xfId="6" applyFill="1" applyAlignment="1"/>
    <xf numFmtId="0" fontId="3" fillId="13" borderId="54" xfId="6" applyFill="1" applyBorder="1" applyAlignment="1"/>
    <xf numFmtId="0" fontId="3" fillId="5" borderId="23" xfId="6" applyFill="1" applyBorder="1" applyAlignment="1"/>
    <xf numFmtId="0" fontId="3" fillId="5" borderId="0" xfId="6" applyFill="1" applyAlignment="1"/>
    <xf numFmtId="0" fontId="3" fillId="5" borderId="54" xfId="6" applyFill="1" applyBorder="1" applyAlignment="1"/>
    <xf numFmtId="0" fontId="3" fillId="6" borderId="23" xfId="6" applyFill="1" applyBorder="1" applyAlignment="1"/>
    <xf numFmtId="0" fontId="3" fillId="6" borderId="0" xfId="6" applyFill="1" applyAlignment="1"/>
    <xf numFmtId="0" fontId="3" fillId="6" borderId="54" xfId="6" applyFill="1" applyBorder="1" applyAlignment="1"/>
    <xf numFmtId="0" fontId="3" fillId="12" borderId="23" xfId="6" applyFill="1" applyBorder="1" applyAlignment="1"/>
    <xf numFmtId="0" fontId="3" fillId="12" borderId="0" xfId="6" applyFill="1" applyAlignment="1"/>
    <xf numFmtId="0" fontId="3" fillId="12" borderId="54" xfId="6" applyFill="1" applyBorder="1" applyAlignment="1"/>
    <xf numFmtId="0" fontId="3" fillId="8" borderId="23" xfId="6" applyFill="1" applyBorder="1" applyAlignment="1"/>
    <xf numFmtId="0" fontId="3" fillId="8" borderId="0" xfId="6" applyFill="1" applyAlignment="1"/>
    <xf numFmtId="0" fontId="3" fillId="8" borderId="54" xfId="6" applyFill="1" applyBorder="1" applyAlignment="1"/>
    <xf numFmtId="0" fontId="3" fillId="0" borderId="30" xfId="6" applyBorder="1" applyAlignment="1"/>
    <xf numFmtId="0" fontId="3" fillId="0" borderId="32" xfId="6" applyBorder="1" applyAlignment="1"/>
    <xf numFmtId="0" fontId="3" fillId="0" borderId="31" xfId="6" applyBorder="1" applyAlignment="1"/>
    <xf numFmtId="0" fontId="42" fillId="0" borderId="23" xfId="6" applyFont="1" applyBorder="1" applyAlignment="1"/>
    <xf numFmtId="0" fontId="59" fillId="0" borderId="0" xfId="5" applyFont="1" applyFill="1" applyBorder="1" applyAlignment="1">
      <alignment horizontal="center"/>
    </xf>
    <xf numFmtId="0" fontId="64" fillId="4" borderId="76" xfId="6" applyFont="1" applyFill="1" applyBorder="1" applyAlignment="1">
      <alignment horizontal="center"/>
    </xf>
    <xf numFmtId="0" fontId="64" fillId="4" borderId="77" xfId="6" applyFont="1" applyFill="1" applyBorder="1" applyAlignment="1">
      <alignment horizontal="center"/>
    </xf>
    <xf numFmtId="0" fontId="64" fillId="4" borderId="78" xfId="6" applyFont="1" applyFill="1" applyBorder="1" applyAlignment="1">
      <alignment horizontal="center"/>
    </xf>
    <xf numFmtId="0" fontId="68" fillId="0" borderId="32" xfId="6" applyFont="1" applyBorder="1" applyAlignment="1">
      <alignment horizontal="center"/>
    </xf>
    <xf numFmtId="0" fontId="24" fillId="18" borderId="33" xfId="8" applyFont="1" applyFill="1" applyBorder="1" applyAlignment="1">
      <alignment horizontal="center" vertical="center" wrapText="1"/>
    </xf>
    <xf numFmtId="0" fontId="24" fillId="18" borderId="110" xfId="8" applyFont="1" applyFill="1" applyBorder="1" applyAlignment="1">
      <alignment horizontal="center" vertical="center" wrapText="1"/>
    </xf>
    <xf numFmtId="0" fontId="3" fillId="18" borderId="33" xfId="6" applyFill="1" applyBorder="1" applyAlignment="1">
      <alignment horizontal="center" wrapText="1"/>
    </xf>
    <xf numFmtId="0" fontId="3" fillId="18" borderId="110" xfId="6" applyFill="1" applyBorder="1" applyAlignment="1">
      <alignment horizontal="center" wrapText="1"/>
    </xf>
    <xf numFmtId="1" fontId="3" fillId="0" borderId="111" xfId="6" applyNumberFormat="1" applyBorder="1" applyAlignment="1">
      <alignment horizontal="center" vertical="center"/>
    </xf>
    <xf numFmtId="1" fontId="3" fillId="0" borderId="114" xfId="6" applyNumberFormat="1" applyBorder="1" applyAlignment="1">
      <alignment horizontal="center" vertical="center"/>
    </xf>
    <xf numFmtId="0" fontId="3" fillId="0" borderId="112" xfId="6" applyBorder="1" applyAlignment="1">
      <alignment horizontal="center" vertical="center"/>
    </xf>
    <xf numFmtId="0" fontId="3" fillId="0" borderId="115" xfId="6" applyBorder="1" applyAlignment="1">
      <alignment horizontal="center" vertical="center"/>
    </xf>
    <xf numFmtId="1" fontId="3" fillId="0" borderId="112" xfId="6" applyNumberFormat="1" applyBorder="1" applyAlignment="1">
      <alignment horizontal="center" vertical="center"/>
    </xf>
    <xf numFmtId="1" fontId="3" fillId="0" borderId="115" xfId="6" applyNumberFormat="1" applyBorder="1" applyAlignment="1">
      <alignment horizontal="center" vertical="center"/>
    </xf>
    <xf numFmtId="1" fontId="3" fillId="0" borderId="122" xfId="6" applyNumberFormat="1" applyBorder="1" applyAlignment="1">
      <alignment horizontal="center" vertical="center"/>
    </xf>
    <xf numFmtId="0" fontId="3" fillId="0" borderId="123" xfId="6" applyBorder="1" applyAlignment="1">
      <alignment horizontal="center" vertical="center"/>
    </xf>
    <xf numFmtId="1" fontId="3" fillId="0" borderId="123" xfId="6" applyNumberFormat="1" applyBorder="1" applyAlignment="1">
      <alignment horizontal="center" vertical="center"/>
    </xf>
    <xf numFmtId="5" fontId="0" fillId="0" borderId="112" xfId="10" applyNumberFormat="1" applyFont="1" applyBorder="1" applyAlignment="1">
      <alignment horizontal="center" vertical="center"/>
    </xf>
    <xf numFmtId="5" fontId="0" fillId="0" borderId="115" xfId="10" applyNumberFormat="1" applyFont="1" applyBorder="1" applyAlignment="1">
      <alignment horizontal="center" vertical="center"/>
    </xf>
    <xf numFmtId="0" fontId="3" fillId="0" borderId="113" xfId="6" applyBorder="1" applyAlignment="1">
      <alignment horizontal="center" vertical="center" wrapText="1"/>
    </xf>
    <xf numFmtId="0" fontId="3" fillId="0" borderId="116" xfId="6" applyBorder="1" applyAlignment="1">
      <alignment horizontal="center" vertical="center" wrapText="1"/>
    </xf>
    <xf numFmtId="5" fontId="0" fillId="0" borderId="123" xfId="10" applyNumberFormat="1" applyFont="1" applyBorder="1" applyAlignment="1">
      <alignment horizontal="center" vertical="center"/>
    </xf>
    <xf numFmtId="0" fontId="3" fillId="0" borderId="124" xfId="6" applyBorder="1" applyAlignment="1">
      <alignment horizontal="center" vertical="center" wrapText="1"/>
    </xf>
    <xf numFmtId="1" fontId="3" fillId="0" borderId="111" xfId="6" applyNumberFormat="1" applyBorder="1" applyAlignment="1">
      <alignment horizontal="center" vertical="center" wrapText="1"/>
    </xf>
    <xf numFmtId="1" fontId="3" fillId="0" borderId="114" xfId="6" applyNumberFormat="1" applyBorder="1" applyAlignment="1">
      <alignment horizontal="center" vertical="center" wrapText="1"/>
    </xf>
    <xf numFmtId="0" fontId="3" fillId="0" borderId="112" xfId="6" applyBorder="1" applyAlignment="1">
      <alignment horizontal="center" vertical="center" wrapText="1"/>
    </xf>
    <xf numFmtId="0" fontId="3" fillId="0" borderId="115" xfId="6" applyBorder="1" applyAlignment="1">
      <alignment horizontal="center" vertical="center" wrapText="1"/>
    </xf>
    <xf numFmtId="1" fontId="3" fillId="0" borderId="112" xfId="6" applyNumberFormat="1" applyBorder="1" applyAlignment="1">
      <alignment horizontal="center" vertical="center" wrapText="1"/>
    </xf>
    <xf numFmtId="1" fontId="3" fillId="0" borderId="115" xfId="6" applyNumberFormat="1" applyBorder="1" applyAlignment="1">
      <alignment horizontal="center" vertical="center" wrapText="1"/>
    </xf>
    <xf numFmtId="0" fontId="24" fillId="18" borderId="125" xfId="8" applyFont="1" applyFill="1" applyBorder="1" applyAlignment="1">
      <alignment horizontal="center" vertical="center" wrapText="1"/>
    </xf>
    <xf numFmtId="0" fontId="3" fillId="18" borderId="125" xfId="6" applyFill="1" applyBorder="1" applyAlignment="1">
      <alignment horizontal="center" wrapText="1"/>
    </xf>
    <xf numFmtId="5" fontId="0" fillId="0" borderId="112" xfId="10" applyNumberFormat="1" applyFont="1" applyBorder="1" applyAlignment="1">
      <alignment horizontal="center" vertical="center" wrapText="1"/>
    </xf>
    <xf numFmtId="5" fontId="0" fillId="0" borderId="115" xfId="10" applyNumberFormat="1" applyFont="1" applyBorder="1" applyAlignment="1">
      <alignment horizontal="center" vertical="center" wrapText="1"/>
    </xf>
    <xf numFmtId="1" fontId="3" fillId="0" borderId="122" xfId="6" applyNumberFormat="1" applyBorder="1" applyAlignment="1">
      <alignment horizontal="center" vertical="center" wrapText="1"/>
    </xf>
    <xf numFmtId="0" fontId="3" fillId="0" borderId="123" xfId="6" applyBorder="1" applyAlignment="1">
      <alignment horizontal="center" vertical="center" wrapText="1"/>
    </xf>
    <xf numFmtId="1" fontId="3" fillId="0" borderId="123" xfId="6" applyNumberFormat="1" applyBorder="1" applyAlignment="1">
      <alignment horizontal="center" vertical="center" wrapText="1"/>
    </xf>
    <xf numFmtId="5" fontId="0" fillId="0" borderId="123" xfId="10" applyNumberFormat="1" applyFont="1" applyBorder="1" applyAlignment="1">
      <alignment horizontal="center" vertical="center" wrapText="1"/>
    </xf>
    <xf numFmtId="0" fontId="3" fillId="0" borderId="126" xfId="6" applyBorder="1" applyAlignment="1">
      <alignment horizontal="center" vertical="center" wrapText="1"/>
    </xf>
    <xf numFmtId="0" fontId="3" fillId="0" borderId="127" xfId="6" applyBorder="1" applyAlignment="1">
      <alignment horizontal="center" vertical="center" wrapText="1"/>
    </xf>
    <xf numFmtId="0" fontId="3" fillId="0" borderId="128" xfId="6" applyBorder="1" applyAlignment="1">
      <alignment horizontal="center" vertical="center" wrapText="1"/>
    </xf>
    <xf numFmtId="0" fontId="65" fillId="0" borderId="0" xfId="0" applyFont="1" applyFill="1" applyAlignment="1">
      <alignment horizontal="left" vertical="top" wrapText="1"/>
    </xf>
    <xf numFmtId="0" fontId="0" fillId="0" borderId="0" xfId="0"/>
    <xf numFmtId="0" fontId="65" fillId="0" borderId="0" xfId="0" applyFont="1" applyFill="1" applyAlignment="1">
      <alignment horizontal="left"/>
    </xf>
    <xf numFmtId="0" fontId="79" fillId="0" borderId="0" xfId="0" applyFont="1" applyFill="1" applyAlignment="1">
      <alignment horizontal="left"/>
    </xf>
    <xf numFmtId="0" fontId="80" fillId="0" borderId="0" xfId="0" applyFont="1" applyFill="1" applyAlignment="1">
      <alignment horizontal="left" vertical="top" wrapText="1"/>
    </xf>
    <xf numFmtId="0" fontId="12" fillId="0" borderId="0" xfId="0" applyFont="1" applyBorder="1" applyAlignment="1">
      <alignment horizontal="center"/>
    </xf>
    <xf numFmtId="0" fontId="5" fillId="0" borderId="0" xfId="0" applyFont="1" applyAlignment="1">
      <alignment horizontal="center"/>
    </xf>
    <xf numFmtId="0" fontId="12" fillId="0" borderId="0" xfId="0" applyFont="1" applyAlignment="1">
      <alignment horizontal="left"/>
    </xf>
    <xf numFmtId="0" fontId="12" fillId="0" borderId="0" xfId="0" applyFont="1" applyAlignment="1">
      <alignment horizontal="center"/>
    </xf>
    <xf numFmtId="0" fontId="12" fillId="6" borderId="0" xfId="0" applyFont="1" applyFill="1" applyAlignment="1">
      <alignment horizontal="center"/>
    </xf>
    <xf numFmtId="6" fontId="5" fillId="7" borderId="42" xfId="0" applyNumberFormat="1" applyFont="1" applyFill="1" applyBorder="1" applyAlignment="1">
      <alignment horizontal="center"/>
    </xf>
    <xf numFmtId="6" fontId="5" fillId="7" borderId="43" xfId="0" applyNumberFormat="1" applyFont="1" applyFill="1" applyBorder="1" applyAlignment="1">
      <alignment horizontal="center"/>
    </xf>
    <xf numFmtId="6" fontId="5" fillId="7" borderId="44" xfId="0" applyNumberFormat="1" applyFont="1" applyFill="1" applyBorder="1" applyAlignment="1">
      <alignment horizontal="center"/>
    </xf>
    <xf numFmtId="0" fontId="5" fillId="16" borderId="42" xfId="0" applyFont="1" applyFill="1" applyBorder="1" applyAlignment="1">
      <alignment horizontal="center"/>
    </xf>
    <xf numFmtId="0" fontId="5" fillId="16" borderId="43" xfId="0" applyFont="1" applyFill="1" applyBorder="1" applyAlignment="1">
      <alignment horizontal="center"/>
    </xf>
    <xf numFmtId="0" fontId="5" fillId="16" borderId="44" xfId="0" applyFont="1" applyFill="1" applyBorder="1" applyAlignment="1">
      <alignment horizontal="center"/>
    </xf>
    <xf numFmtId="0" fontId="5" fillId="20" borderId="4" xfId="0" applyFont="1" applyFill="1" applyBorder="1" applyAlignment="1">
      <alignment horizontal="center"/>
    </xf>
    <xf numFmtId="0" fontId="5" fillId="20" borderId="51" xfId="0" applyFont="1" applyFill="1" applyBorder="1" applyAlignment="1">
      <alignment horizontal="center"/>
    </xf>
    <xf numFmtId="0" fontId="5" fillId="20" borderId="5" xfId="0" applyFont="1" applyFill="1" applyBorder="1" applyAlignment="1">
      <alignment horizontal="center"/>
    </xf>
    <xf numFmtId="0" fontId="44" fillId="10" borderId="42" xfId="0" applyFont="1" applyFill="1" applyBorder="1" applyAlignment="1">
      <alignment horizontal="center" vertical="center"/>
    </xf>
    <xf numFmtId="0" fontId="44" fillId="10" borderId="44" xfId="0" applyFont="1" applyFill="1" applyBorder="1" applyAlignment="1">
      <alignment horizontal="center" vertical="center"/>
    </xf>
    <xf numFmtId="0" fontId="25" fillId="0" borderId="42" xfId="0" applyFont="1" applyBorder="1" applyAlignment="1">
      <alignment vertical="center"/>
    </xf>
    <xf numFmtId="0" fontId="25" fillId="0" borderId="43" xfId="0" applyFont="1" applyBorder="1" applyAlignment="1">
      <alignment vertical="center"/>
    </xf>
    <xf numFmtId="0" fontId="25" fillId="11" borderId="42" xfId="0" applyFont="1" applyFill="1" applyBorder="1" applyAlignment="1">
      <alignment vertical="center"/>
    </xf>
    <xf numFmtId="0" fontId="25" fillId="11" borderId="43" xfId="0" applyFont="1" applyFill="1" applyBorder="1" applyAlignment="1">
      <alignment vertical="center"/>
    </xf>
    <xf numFmtId="0" fontId="25" fillId="0" borderId="1" xfId="0" applyFont="1" applyBorder="1" applyAlignment="1">
      <alignment vertical="center"/>
    </xf>
    <xf numFmtId="0" fontId="25" fillId="0" borderId="3" xfId="0" applyFont="1" applyBorder="1" applyAlignment="1">
      <alignment vertical="center"/>
    </xf>
    <xf numFmtId="0" fontId="34" fillId="0" borderId="0" xfId="0" applyFont="1" applyBorder="1" applyAlignment="1">
      <alignment horizontal="right"/>
    </xf>
    <xf numFmtId="0" fontId="34" fillId="0" borderId="54" xfId="0" applyFont="1" applyBorder="1" applyAlignment="1">
      <alignment horizontal="right"/>
    </xf>
    <xf numFmtId="0" fontId="34" fillId="0" borderId="22" xfId="0" applyFont="1" applyBorder="1" applyAlignment="1">
      <alignment horizontal="center"/>
    </xf>
  </cellXfs>
  <cellStyles count="22">
    <cellStyle name="Comma" xfId="1" builtinId="3"/>
    <cellStyle name="Comma 2" xfId="7"/>
    <cellStyle name="Comma 2 2" xfId="16"/>
    <cellStyle name="Comma 3" xfId="14"/>
    <cellStyle name="Comma 3 2" xfId="20"/>
    <cellStyle name="Currency" xfId="2" builtinId="4"/>
    <cellStyle name="Currency 2" xfId="10"/>
    <cellStyle name="Currency 2 2" xfId="13"/>
    <cellStyle name="Currency 3" xfId="12"/>
    <cellStyle name="Currency 3 2" xfId="21"/>
    <cellStyle name="Heading 2 2" xfId="18"/>
    <cellStyle name="Hyperlink" xfId="3" builtinId="8"/>
    <cellStyle name="Normal" xfId="0" builtinId="0"/>
    <cellStyle name="Normal 2" xfId="5"/>
    <cellStyle name="Normal 2 2" xfId="11"/>
    <cellStyle name="Normal 3" xfId="6"/>
    <cellStyle name="Normal 4" xfId="17"/>
    <cellStyle name="Normal_2015 PQI-Div 1" xfId="8"/>
    <cellStyle name="Normal_Sheet1" xfId="9"/>
    <cellStyle name="Percent" xfId="4" builtinId="5"/>
    <cellStyle name="Percent 2" xfId="15"/>
    <cellStyle name="Percent 4"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222250</xdr:colOff>
      <xdr:row>41</xdr:row>
      <xdr:rowOff>0</xdr:rowOff>
    </xdr:to>
    <xdr:pic>
      <xdr:nvPicPr>
        <xdr:cNvPr id="3083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37" t="9999" r="2925" b="10294"/>
        <a:stretch>
          <a:fillRect/>
        </a:stretch>
      </xdr:blipFill>
      <xdr:spPr bwMode="auto">
        <a:xfrm>
          <a:off x="0" y="0"/>
          <a:ext cx="12414250" cy="650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273050</xdr:colOff>
      <xdr:row>41</xdr:row>
      <xdr:rowOff>6350</xdr:rowOff>
    </xdr:to>
    <xdr:pic>
      <xdr:nvPicPr>
        <xdr:cNvPr id="31856"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9808" r="2747" b="10390"/>
        <a:stretch>
          <a:fillRect/>
        </a:stretch>
      </xdr:blipFill>
      <xdr:spPr bwMode="auto">
        <a:xfrm>
          <a:off x="0" y="0"/>
          <a:ext cx="12465050" cy="651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5</xdr:row>
      <xdr:rowOff>95250</xdr:rowOff>
    </xdr:from>
    <xdr:to>
      <xdr:col>19</xdr:col>
      <xdr:colOff>88900</xdr:colOff>
      <xdr:row>33</xdr:row>
      <xdr:rowOff>44450</xdr:rowOff>
    </xdr:to>
    <xdr:pic>
      <xdr:nvPicPr>
        <xdr:cNvPr id="37986"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3450" y="920750"/>
          <a:ext cx="7404100" cy="440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cdm.com/DOCUME~1/EMCKEN~1/LOCALS~1/Temp/notesE97E9E/Template%20of%20Benefits%20%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am.cdm.com/Pavement_Management/Analysis/Costs/Typical%20Treatment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eam.cdm.com/Users/clawsondw/Downloads/CREATE_TIGER_V_Benefit_Cost%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nnel Capacity"/>
      <sheetName val="Notes"/>
    </sheetNames>
    <sheetDataSet>
      <sheetData sheetId="0">
        <row r="2">
          <cell r="C2">
            <v>8000</v>
          </cell>
        </row>
        <row r="3">
          <cell r="C3">
            <v>0.57999999999999996</v>
          </cell>
        </row>
        <row r="4">
          <cell r="C4">
            <v>0</v>
          </cell>
        </row>
        <row r="5">
          <cell r="C5">
            <v>63</v>
          </cell>
        </row>
        <row r="6">
          <cell r="C6">
            <v>36</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 Items &amp; Conversions"/>
      <sheetName val="Treatment Costs"/>
      <sheetName val="Cost List"/>
      <sheetName val="Cost List Print"/>
      <sheetName val="Treatment Ranges &amp; Ages"/>
      <sheetName val="Deterioration"/>
      <sheetName val="Typical Treatments"/>
      <sheetName val="Old Treatments"/>
      <sheetName val="Checks"/>
      <sheetName val="IC-PM"/>
      <sheetName val="IC-MR"/>
      <sheetName val="IC-HR"/>
      <sheetName val="IC-R"/>
      <sheetName val="Chip Seal"/>
      <sheetName val="Microsurface"/>
      <sheetName val="HIR"/>
      <sheetName val="UTBWC"/>
      <sheetName val="1.5&quot; AC"/>
      <sheetName val="PC - PM"/>
      <sheetName val="2.0&quot; AC"/>
      <sheetName val="2.5&quot; AC"/>
      <sheetName val="3.0&quot; AC"/>
      <sheetName val="PC - MR"/>
      <sheetName val="4.0&quot; AC"/>
      <sheetName val="5.0&quot; AC"/>
      <sheetName val="6&quot; DJCP"/>
      <sheetName val="7.0&quot;+ AC"/>
      <sheetName val="Bonded Overlay"/>
      <sheetName val="Unbonded Overlay"/>
      <sheetName val="PC - HR"/>
      <sheetName val="8.0&quot; AC"/>
      <sheetName val="10&quot; AC"/>
      <sheetName val="12&quot; AC"/>
      <sheetName val="9&quot; DJCP"/>
      <sheetName val="11&quot; DJCP"/>
      <sheetName val="12&quot; DJCP"/>
      <sheetName val="12&quot; CRCP"/>
    </sheetNames>
    <sheetDataSet>
      <sheetData sheetId="0"/>
      <sheetData sheetId="1"/>
      <sheetData sheetId="2"/>
      <sheetData sheetId="3"/>
      <sheetData sheetId="4">
        <row r="5">
          <cell r="C5">
            <v>62281.933018468284</v>
          </cell>
        </row>
        <row r="8">
          <cell r="C8">
            <v>27000.426345885837</v>
          </cell>
        </row>
        <row r="9">
          <cell r="C9">
            <v>17203.345300088935</v>
          </cell>
        </row>
        <row r="12">
          <cell r="C12">
            <v>133901.54376956075</v>
          </cell>
        </row>
        <row r="19">
          <cell r="C19">
            <v>291683.21476954635</v>
          </cell>
        </row>
        <row r="22">
          <cell r="C22">
            <v>262937.54099727113</v>
          </cell>
        </row>
        <row r="23">
          <cell r="C23">
            <v>168777.54608960683</v>
          </cell>
        </row>
        <row r="26">
          <cell r="C26">
            <v>669405.93267000245</v>
          </cell>
        </row>
        <row r="29">
          <cell r="C29">
            <v>749480.66363022523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CA Summary"/>
      <sheetName val="Incremental BCA"/>
      <sheetName val="30 Year BCA - TIGER V"/>
      <sheetName val="30 Year BCA - IJN!"/>
      <sheetName val="State of Good Repair"/>
      <sheetName val="Sustainability"/>
      <sheetName val="Econ. Comp."/>
      <sheetName val="Vehicle Diversion"/>
      <sheetName val="Safety"/>
      <sheetName val="CPI Conversions"/>
    </sheetNames>
    <sheetDataSet>
      <sheetData sheetId="0"/>
      <sheetData sheetId="1"/>
      <sheetData sheetId="2"/>
      <sheetData sheetId="3"/>
      <sheetData sheetId="4">
        <row r="32">
          <cell r="D32">
            <v>413791.58123634005</v>
          </cell>
          <cell r="H32">
            <v>435604.1181939285</v>
          </cell>
        </row>
      </sheetData>
      <sheetData sheetId="5">
        <row r="6">
          <cell r="J6">
            <v>27.757354774691013</v>
          </cell>
          <cell r="K6">
            <v>28.328493761824575</v>
          </cell>
          <cell r="L6">
            <v>28.899632748958133</v>
          </cell>
          <cell r="M6">
            <v>29.470771736091692</v>
          </cell>
          <cell r="N6">
            <v>30.041910723225254</v>
          </cell>
          <cell r="O6">
            <v>30.841505305212237</v>
          </cell>
          <cell r="P6">
            <v>31.52687208977251</v>
          </cell>
          <cell r="Q6">
            <v>32.326466671759491</v>
          </cell>
          <cell r="R6">
            <v>33.011833456319764</v>
          </cell>
          <cell r="S6">
            <v>33.811428038306751</v>
          </cell>
          <cell r="T6">
            <v>34.496794822867017</v>
          </cell>
          <cell r="U6">
            <v>35.296389404854004</v>
          </cell>
          <cell r="V6">
            <v>35.981756189414277</v>
          </cell>
          <cell r="W6">
            <v>36.66712297397455</v>
          </cell>
          <cell r="X6">
            <v>37.46671755596153</v>
          </cell>
          <cell r="Y6">
            <v>38.152084340521803</v>
          </cell>
          <cell r="Z6">
            <v>38.95167892250879</v>
          </cell>
          <cell r="AA6">
            <v>39.637045707069063</v>
          </cell>
          <cell r="AB6">
            <v>40.436640289056044</v>
          </cell>
          <cell r="AC6">
            <v>41.122007073616317</v>
          </cell>
          <cell r="AD6">
            <v>41.921601655603304</v>
          </cell>
          <cell r="AE6">
            <v>42.60696844016357</v>
          </cell>
          <cell r="AF6">
            <v>43.292335224723843</v>
          </cell>
          <cell r="AG6">
            <v>44.09192980671083</v>
          </cell>
          <cell r="AH6">
            <v>44.777296591271103</v>
          </cell>
          <cell r="AI6">
            <v>45.462663375831369</v>
          </cell>
          <cell r="AJ6">
            <v>46.148030160391642</v>
          </cell>
          <cell r="AK6">
            <v>46.7191691475252</v>
          </cell>
        </row>
        <row r="11">
          <cell r="D11">
            <v>1.0200860000000001E-2</v>
          </cell>
        </row>
        <row r="27">
          <cell r="D27">
            <v>8.8699999999999994E-3</v>
          </cell>
        </row>
      </sheetData>
      <sheetData sheetId="6">
        <row r="27">
          <cell r="M27">
            <v>70671.524394682332</v>
          </cell>
          <cell r="N27">
            <v>74619.438213073503</v>
          </cell>
          <cell r="O27">
            <v>75344.802759713435</v>
          </cell>
          <cell r="P27">
            <v>76077.399822980573</v>
          </cell>
          <cell r="Q27">
            <v>76817.302406139526</v>
          </cell>
          <cell r="R27">
            <v>77564.584253578447</v>
          </cell>
          <cell r="S27">
            <v>78319.319858353047</v>
          </cell>
          <cell r="T27">
            <v>79081.584469807291</v>
          </cell>
          <cell r="U27">
            <v>79851.454101271767</v>
          </cell>
          <cell r="V27">
            <v>80629.005537840625</v>
          </cell>
          <cell r="W27">
            <v>81414.316344227715</v>
          </cell>
          <cell r="X27">
            <v>82207.464872702752</v>
          </cell>
          <cell r="Y27">
            <v>83008.530271108437</v>
          </cell>
          <cell r="Z27">
            <v>83817.592490959301</v>
          </cell>
          <cell r="AA27">
            <v>84634.732295622962</v>
          </cell>
          <cell r="AB27">
            <v>85460.031268584877</v>
          </cell>
          <cell r="AC27">
            <v>86293.571821797334</v>
          </cell>
          <cell r="AD27">
            <v>87135.437204113419</v>
          </cell>
          <cell r="AE27">
            <v>87985.71150980721</v>
          </cell>
          <cell r="AF27">
            <v>88844.479687180356</v>
          </cell>
          <cell r="AG27">
            <v>89711.827547256878</v>
          </cell>
          <cell r="AH27">
            <v>90587.841772566229</v>
          </cell>
          <cell r="AI27">
            <v>91472.609926016099</v>
          </cell>
          <cell r="AJ27">
            <v>92366.22045985538</v>
          </cell>
          <cell r="AK27">
            <v>93268.762724728862</v>
          </cell>
          <cell r="AL27">
            <v>94180.326978823956</v>
          </cell>
          <cell r="AM27">
            <v>95101.004397110606</v>
          </cell>
          <cell r="AN27">
            <v>96030.887080675631</v>
          </cell>
        </row>
        <row r="28">
          <cell r="M28">
            <v>5351.2774484851816</v>
          </cell>
          <cell r="N28">
            <v>7124.9497446950354</v>
          </cell>
          <cell r="O28">
            <v>7222.5842214368849</v>
          </cell>
          <cell r="P28">
            <v>7322.0788373949281</v>
          </cell>
          <cell r="Q28">
            <v>7423.4729146577756</v>
          </cell>
          <cell r="R28">
            <v>7526.8066273176973</v>
          </cell>
          <cell r="S28">
            <v>7632.1210200312926</v>
          </cell>
          <cell r="T28">
            <v>7739.4580269849848</v>
          </cell>
          <cell r="U28">
            <v>7848.8604912741384</v>
          </cell>
          <cell r="V28">
            <v>7960.3721847048619</v>
          </cell>
          <cell r="W28">
            <v>8074.0378280276809</v>
          </cell>
          <cell r="X28">
            <v>8189.9031116125234</v>
          </cell>
          <cell r="Y28">
            <v>8308.0147165746457</v>
          </cell>
          <cell r="Z28">
            <v>8428.4203363613142</v>
          </cell>
          <cell r="AA28">
            <v>8551.1686988093352</v>
          </cell>
          <cell r="AB28">
            <v>8676.3095886836581</v>
          </cell>
          <cell r="AC28">
            <v>8803.8938707075849</v>
          </cell>
          <cell r="AD28">
            <v>8933.9735130952868</v>
          </cell>
          <cell r="AE28">
            <v>9066.601611597589</v>
          </cell>
          <cell r="AF28">
            <v>9201.8324140722561</v>
          </cell>
          <cell r="AG28">
            <v>9339.7213455901474</v>
          </cell>
          <cell r="AH28">
            <v>9480.3250340890118</v>
          </cell>
          <cell r="AI28">
            <v>9623.7013365868133</v>
          </cell>
          <cell r="AJ28">
            <v>9769.9093659668324</v>
          </cell>
          <cell r="AK28">
            <v>9919.0095183469657</v>
          </cell>
          <cell r="AL28">
            <v>10071.063501046061</v>
          </cell>
          <cell r="AM28">
            <v>10226.134361160181</v>
          </cell>
          <cell r="AN28">
            <v>10384.286514762231</v>
          </cell>
        </row>
      </sheetData>
      <sheetData sheetId="7">
        <row r="12">
          <cell r="N12">
            <v>19.157199656188133</v>
          </cell>
          <cell r="O12">
            <v>9.9523157371716096</v>
          </cell>
        </row>
      </sheetData>
      <sheetData sheetId="8">
        <row r="15">
          <cell r="F15">
            <v>168504.11440245147</v>
          </cell>
        </row>
        <row r="17">
          <cell r="H17">
            <v>9295199.182839632</v>
          </cell>
        </row>
        <row r="22">
          <cell r="E22">
            <v>6.6666666666666666E-2</v>
          </cell>
        </row>
        <row r="23">
          <cell r="E23">
            <v>0.2</v>
          </cell>
        </row>
        <row r="24">
          <cell r="E24">
            <v>0.26666666666666666</v>
          </cell>
        </row>
        <row r="25">
          <cell r="E25">
            <v>7533.333333333333</v>
          </cell>
        </row>
        <row r="32">
          <cell r="F32">
            <v>1.6333333333333333</v>
          </cell>
        </row>
        <row r="33">
          <cell r="F33">
            <v>0.66666666666666674</v>
          </cell>
        </row>
      </sheetData>
      <sheetData sheetId="9">
        <row r="11">
          <cell r="D11">
            <v>1.1422779742671199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epa.gov/climatechange/EPAactivities/economics/scc.html" TargetMode="External"/><Relationship Id="rId1" Type="http://schemas.openxmlformats.org/officeDocument/2006/relationships/hyperlink" Target="http://taxfoundation.org/article/summary-latest-federal-income-tax-data"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3.xml"/></Relationships>
</file>

<file path=xl/worksheets/_rels/sheet2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3:H74"/>
  <sheetViews>
    <sheetView topLeftCell="B7" zoomScaleNormal="100" zoomScaleSheetLayoutView="100" workbookViewId="0">
      <selection activeCell="B18" sqref="B18"/>
    </sheetView>
  </sheetViews>
  <sheetFormatPr defaultColWidth="9.140625" defaultRowHeight="15" x14ac:dyDescent="0.25"/>
  <cols>
    <col min="1" max="2" width="9.140625" style="522"/>
    <col min="3" max="3" width="2.5703125" style="522" customWidth="1"/>
    <col min="4" max="4" width="46.42578125" style="522" customWidth="1"/>
    <col min="5" max="5" width="51.140625" style="522" customWidth="1"/>
    <col min="6" max="6" width="2.5703125" style="522" customWidth="1"/>
    <col min="7" max="16384" width="9.140625" style="522"/>
  </cols>
  <sheetData>
    <row r="3" spans="4:8" x14ac:dyDescent="0.25">
      <c r="D3" s="522" t="s">
        <v>906</v>
      </c>
      <c r="H3" s="522" t="s">
        <v>907</v>
      </c>
    </row>
    <row r="4" spans="4:8" x14ac:dyDescent="0.25">
      <c r="D4" s="522" t="s">
        <v>908</v>
      </c>
      <c r="H4" s="522" t="s">
        <v>909</v>
      </c>
    </row>
    <row r="5" spans="4:8" x14ac:dyDescent="0.25">
      <c r="D5" s="645" t="s">
        <v>910</v>
      </c>
      <c r="E5" s="645" t="s">
        <v>911</v>
      </c>
    </row>
    <row r="6" spans="4:8" x14ac:dyDescent="0.25">
      <c r="D6" s="646" t="s">
        <v>912</v>
      </c>
      <c r="E6" s="645" t="s">
        <v>913</v>
      </c>
    </row>
    <row r="7" spans="4:8" x14ac:dyDescent="0.25">
      <c r="D7" s="646" t="s">
        <v>914</v>
      </c>
      <c r="E7" s="645" t="s">
        <v>915</v>
      </c>
    </row>
    <row r="8" spans="4:8" x14ac:dyDescent="0.25">
      <c r="D8" s="645" t="s">
        <v>916</v>
      </c>
      <c r="E8" s="645" t="s">
        <v>917</v>
      </c>
    </row>
    <row r="9" spans="4:8" x14ac:dyDescent="0.25">
      <c r="D9" s="645" t="s">
        <v>918</v>
      </c>
      <c r="E9" s="645" t="s">
        <v>919</v>
      </c>
    </row>
    <row r="10" spans="4:8" x14ac:dyDescent="0.25">
      <c r="D10" s="645" t="s">
        <v>920</v>
      </c>
      <c r="E10" s="645"/>
      <c r="H10" s="522" t="s">
        <v>921</v>
      </c>
    </row>
    <row r="12" spans="4:8" x14ac:dyDescent="0.25">
      <c r="D12" s="939" t="s">
        <v>922</v>
      </c>
      <c r="E12" s="647"/>
    </row>
    <row r="13" spans="4:8" x14ac:dyDescent="0.25">
      <c r="D13" s="940"/>
      <c r="E13" s="648" t="s">
        <v>923</v>
      </c>
    </row>
    <row r="14" spans="4:8" x14ac:dyDescent="0.25">
      <c r="D14" s="649" t="s">
        <v>924</v>
      </c>
      <c r="E14" s="650"/>
    </row>
    <row r="15" spans="4:8" x14ac:dyDescent="0.25">
      <c r="D15" s="941" t="s">
        <v>925</v>
      </c>
      <c r="E15" s="647" t="s">
        <v>923</v>
      </c>
    </row>
    <row r="16" spans="4:8" x14ac:dyDescent="0.25">
      <c r="D16" s="942"/>
      <c r="E16" s="651"/>
    </row>
    <row r="17" spans="2:7" ht="30" x14ac:dyDescent="0.25">
      <c r="D17" s="652" t="s">
        <v>926</v>
      </c>
      <c r="E17" s="645" t="s">
        <v>927</v>
      </c>
    </row>
    <row r="18" spans="2:7" x14ac:dyDescent="0.25">
      <c r="D18" s="943" t="s">
        <v>928</v>
      </c>
      <c r="E18" s="647" t="s">
        <v>923</v>
      </c>
    </row>
    <row r="19" spans="2:7" x14ac:dyDescent="0.25">
      <c r="B19" s="522" t="s">
        <v>375</v>
      </c>
      <c r="D19" s="944"/>
      <c r="E19" s="648" t="s">
        <v>929</v>
      </c>
    </row>
    <row r="20" spans="2:7" x14ac:dyDescent="0.25">
      <c r="D20" s="653"/>
      <c r="E20" s="651" t="s">
        <v>930</v>
      </c>
    </row>
    <row r="21" spans="2:7" x14ac:dyDescent="0.25">
      <c r="D21" s="653"/>
      <c r="E21" s="651" t="s">
        <v>931</v>
      </c>
    </row>
    <row r="22" spans="2:7" x14ac:dyDescent="0.25">
      <c r="B22" s="522" t="s">
        <v>375</v>
      </c>
      <c r="D22" s="654" t="s">
        <v>932</v>
      </c>
      <c r="E22" s="651" t="s">
        <v>923</v>
      </c>
    </row>
    <row r="23" spans="2:7" x14ac:dyDescent="0.25">
      <c r="D23" s="939" t="s">
        <v>933</v>
      </c>
      <c r="E23" s="647"/>
    </row>
    <row r="24" spans="2:7" x14ac:dyDescent="0.25">
      <c r="D24" s="940"/>
      <c r="E24" s="648" t="s">
        <v>934</v>
      </c>
    </row>
    <row r="25" spans="2:7" x14ac:dyDescent="0.25">
      <c r="D25" s="945"/>
      <c r="E25" s="651" t="s">
        <v>935</v>
      </c>
      <c r="G25" s="522" t="s">
        <v>936</v>
      </c>
    </row>
    <row r="26" spans="2:7" x14ac:dyDescent="0.25">
      <c r="D26" s="655" t="s">
        <v>937</v>
      </c>
      <c r="E26" s="648"/>
    </row>
    <row r="27" spans="2:7" x14ac:dyDescent="0.25">
      <c r="D27" s="656" t="s">
        <v>938</v>
      </c>
      <c r="E27" s="648"/>
    </row>
    <row r="28" spans="2:7" x14ac:dyDescent="0.25">
      <c r="D28" s="656" t="s">
        <v>939</v>
      </c>
      <c r="E28" s="648"/>
    </row>
    <row r="29" spans="2:7" x14ac:dyDescent="0.25">
      <c r="D29" s="656" t="s">
        <v>940</v>
      </c>
      <c r="E29" s="648"/>
    </row>
    <row r="30" spans="2:7" x14ac:dyDescent="0.25">
      <c r="D30" s="657" t="s">
        <v>941</v>
      </c>
      <c r="E30" s="657"/>
    </row>
    <row r="31" spans="2:7" ht="53.25" x14ac:dyDescent="0.25">
      <c r="D31" s="655" t="s">
        <v>942</v>
      </c>
      <c r="E31" s="647"/>
    </row>
    <row r="32" spans="2:7" x14ac:dyDescent="0.25">
      <c r="D32" s="658" t="s">
        <v>943</v>
      </c>
      <c r="E32" s="645" t="s">
        <v>944</v>
      </c>
    </row>
    <row r="33" spans="4:7" x14ac:dyDescent="0.25">
      <c r="D33" s="655" t="s">
        <v>945</v>
      </c>
      <c r="E33" s="647" t="s">
        <v>946</v>
      </c>
    </row>
    <row r="34" spans="4:7" x14ac:dyDescent="0.25">
      <c r="D34" s="939" t="s">
        <v>947</v>
      </c>
      <c r="E34" s="647" t="s">
        <v>923</v>
      </c>
    </row>
    <row r="35" spans="4:7" x14ac:dyDescent="0.25">
      <c r="D35" s="945"/>
      <c r="E35" s="651"/>
    </row>
    <row r="36" spans="4:7" x14ac:dyDescent="0.25">
      <c r="D36" s="656" t="s">
        <v>948</v>
      </c>
      <c r="E36" s="648"/>
    </row>
    <row r="37" spans="4:7" x14ac:dyDescent="0.25">
      <c r="D37" s="659" t="s">
        <v>949</v>
      </c>
      <c r="E37" s="648"/>
    </row>
    <row r="38" spans="4:7" x14ac:dyDescent="0.25">
      <c r="D38" s="660" t="s">
        <v>950</v>
      </c>
      <c r="E38" s="648" t="s">
        <v>951</v>
      </c>
    </row>
    <row r="39" spans="4:7" x14ac:dyDescent="0.25">
      <c r="D39" s="661" t="s">
        <v>952</v>
      </c>
      <c r="E39" s="645"/>
    </row>
    <row r="40" spans="4:7" x14ac:dyDescent="0.25">
      <c r="D40" s="662" t="s">
        <v>953</v>
      </c>
      <c r="E40" s="647"/>
    </row>
    <row r="41" spans="4:7" x14ac:dyDescent="0.25">
      <c r="D41" s="663" t="s">
        <v>954</v>
      </c>
      <c r="E41" s="664" t="s">
        <v>955</v>
      </c>
    </row>
    <row r="42" spans="4:7" x14ac:dyDescent="0.25">
      <c r="D42" s="665" t="s">
        <v>956</v>
      </c>
      <c r="E42" s="666" t="s">
        <v>957</v>
      </c>
    </row>
    <row r="43" spans="4:7" x14ac:dyDescent="0.25">
      <c r="D43" s="665" t="s">
        <v>958</v>
      </c>
      <c r="E43" s="666" t="s">
        <v>959</v>
      </c>
    </row>
    <row r="44" spans="4:7" x14ac:dyDescent="0.25">
      <c r="D44" s="665" t="s">
        <v>960</v>
      </c>
      <c r="E44" s="666" t="s">
        <v>961</v>
      </c>
      <c r="G44" s="522" t="s">
        <v>962</v>
      </c>
    </row>
    <row r="45" spans="4:7" x14ac:dyDescent="0.25">
      <c r="D45" s="667" t="s">
        <v>963</v>
      </c>
      <c r="E45" s="668" t="s">
        <v>955</v>
      </c>
    </row>
    <row r="47" spans="4:7" x14ac:dyDescent="0.25">
      <c r="D47" s="669" t="s">
        <v>964</v>
      </c>
      <c r="E47" s="522" t="s">
        <v>965</v>
      </c>
      <c r="F47" s="669"/>
    </row>
    <row r="48" spans="4:7" x14ac:dyDescent="0.25">
      <c r="D48" s="670" t="s">
        <v>966</v>
      </c>
      <c r="E48" s="669" t="s">
        <v>967</v>
      </c>
      <c r="F48" s="669"/>
    </row>
    <row r="52" spans="4:8" x14ac:dyDescent="0.25">
      <c r="D52" s="522" t="s">
        <v>968</v>
      </c>
      <c r="E52" s="671" t="s">
        <v>969</v>
      </c>
    </row>
    <row r="54" spans="4:8" x14ac:dyDescent="0.25">
      <c r="D54" s="522" t="s">
        <v>910</v>
      </c>
    </row>
    <row r="55" spans="4:8" x14ac:dyDescent="0.25">
      <c r="D55" s="522" t="s">
        <v>970</v>
      </c>
      <c r="E55" s="522" t="s">
        <v>971</v>
      </c>
    </row>
    <row r="57" spans="4:8" x14ac:dyDescent="0.25">
      <c r="D57" s="522" t="s">
        <v>972</v>
      </c>
      <c r="E57" s="559">
        <v>0.1</v>
      </c>
    </row>
    <row r="58" spans="4:8" x14ac:dyDescent="0.25">
      <c r="D58" s="522" t="s">
        <v>973</v>
      </c>
      <c r="E58" s="559">
        <v>0.9</v>
      </c>
      <c r="G58" s="522" t="s">
        <v>974</v>
      </c>
    </row>
    <row r="59" spans="4:8" x14ac:dyDescent="0.25">
      <c r="D59" s="522" t="s">
        <v>975</v>
      </c>
      <c r="E59" s="559">
        <v>0</v>
      </c>
      <c r="G59" s="522" t="s">
        <v>976</v>
      </c>
    </row>
    <row r="60" spans="4:8" x14ac:dyDescent="0.25">
      <c r="D60" s="522" t="s">
        <v>977</v>
      </c>
      <c r="E60" s="522" t="s">
        <v>978</v>
      </c>
    </row>
    <row r="61" spans="4:8" x14ac:dyDescent="0.25">
      <c r="D61" s="522" t="s">
        <v>979</v>
      </c>
      <c r="E61" s="522" t="s">
        <v>980</v>
      </c>
    </row>
    <row r="62" spans="4:8" x14ac:dyDescent="0.25">
      <c r="D62" s="522" t="s">
        <v>981</v>
      </c>
      <c r="E62" s="559">
        <v>0</v>
      </c>
    </row>
    <row r="63" spans="4:8" x14ac:dyDescent="0.25">
      <c r="D63" s="522" t="s">
        <v>982</v>
      </c>
      <c r="E63" s="559">
        <v>0.05</v>
      </c>
    </row>
    <row r="64" spans="4:8" x14ac:dyDescent="0.25">
      <c r="D64" s="522" t="s">
        <v>983</v>
      </c>
      <c r="E64" s="522" t="s">
        <v>984</v>
      </c>
      <c r="H64" s="522" t="s">
        <v>985</v>
      </c>
    </row>
    <row r="66" spans="4:5" x14ac:dyDescent="0.25">
      <c r="D66" s="522" t="s">
        <v>986</v>
      </c>
      <c r="E66" s="672" t="s">
        <v>987</v>
      </c>
    </row>
    <row r="67" spans="4:5" x14ac:dyDescent="0.25">
      <c r="D67" s="522" t="s">
        <v>988</v>
      </c>
      <c r="E67" s="673" t="s">
        <v>989</v>
      </c>
    </row>
    <row r="68" spans="4:5" x14ac:dyDescent="0.25">
      <c r="D68" s="522" t="s">
        <v>990</v>
      </c>
      <c r="E68" s="672" t="s">
        <v>987</v>
      </c>
    </row>
    <row r="69" spans="4:5" x14ac:dyDescent="0.25">
      <c r="D69" s="522" t="s">
        <v>991</v>
      </c>
      <c r="E69" s="672" t="s">
        <v>992</v>
      </c>
    </row>
    <row r="70" spans="4:5" ht="15.75" x14ac:dyDescent="0.25">
      <c r="D70" s="522" t="s">
        <v>993</v>
      </c>
      <c r="E70" s="672" t="s">
        <v>994</v>
      </c>
    </row>
    <row r="71" spans="4:5" x14ac:dyDescent="0.25">
      <c r="D71" s="522" t="s">
        <v>451</v>
      </c>
      <c r="E71" s="673" t="s">
        <v>995</v>
      </c>
    </row>
    <row r="72" spans="4:5" x14ac:dyDescent="0.25">
      <c r="D72" s="522" t="s">
        <v>217</v>
      </c>
    </row>
    <row r="73" spans="4:5" x14ac:dyDescent="0.25">
      <c r="D73" s="522" t="s">
        <v>996</v>
      </c>
      <c r="E73" s="674" t="s">
        <v>997</v>
      </c>
    </row>
    <row r="74" spans="4:5" x14ac:dyDescent="0.25">
      <c r="D74" s="522" t="s">
        <v>998</v>
      </c>
      <c r="E74" s="675" t="s">
        <v>999</v>
      </c>
    </row>
  </sheetData>
  <mergeCells count="5">
    <mergeCell ref="D12:D13"/>
    <mergeCell ref="D15:D16"/>
    <mergeCell ref="D18:D19"/>
    <mergeCell ref="D23:D25"/>
    <mergeCell ref="D34:D35"/>
  </mergeCells>
  <pageMargins left="0.45" right="0.45" top="0.25" bottom="0.2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E124"/>
  <sheetViews>
    <sheetView workbookViewId="0">
      <selection activeCell="H11" sqref="H11"/>
    </sheetView>
  </sheetViews>
  <sheetFormatPr defaultRowHeight="12.75" x14ac:dyDescent="0.2"/>
  <cols>
    <col min="2" max="2" width="34" style="9" customWidth="1"/>
    <col min="3" max="3" width="20.7109375" style="9" bestFit="1" customWidth="1"/>
    <col min="4" max="4" width="67.85546875" customWidth="1"/>
  </cols>
  <sheetData>
    <row r="5" spans="2:5" x14ac:dyDescent="0.2">
      <c r="B5" s="359" t="s">
        <v>3</v>
      </c>
      <c r="C5" s="359" t="s">
        <v>436</v>
      </c>
      <c r="D5" s="427" t="s">
        <v>59</v>
      </c>
    </row>
    <row r="6" spans="2:5" x14ac:dyDescent="0.2">
      <c r="B6" s="426"/>
      <c r="C6" s="443"/>
      <c r="D6" s="95"/>
    </row>
    <row r="7" spans="2:5" ht="15" x14ac:dyDescent="0.25">
      <c r="B7" s="470" t="str">
        <f>Input!A6</f>
        <v>Miles in length</v>
      </c>
      <c r="C7" s="444">
        <f>Input!B6</f>
        <v>8</v>
      </c>
      <c r="D7" s="216" t="str">
        <f>Input!D6</f>
        <v>Based on OKDOT Information</v>
      </c>
    </row>
    <row r="8" spans="2:5" x14ac:dyDescent="0.2">
      <c r="B8" s="62"/>
      <c r="C8" s="445"/>
      <c r="D8" s="83"/>
    </row>
    <row r="9" spans="2:5" ht="15" x14ac:dyDescent="0.25">
      <c r="B9" s="470" t="str">
        <f>Input!A8</f>
        <v>Build/Capital Costs 2016 values</v>
      </c>
      <c r="C9" s="446">
        <f>Input!B8</f>
        <v>180600000</v>
      </c>
      <c r="D9" s="216" t="str">
        <f>D7</f>
        <v>Based on OKDOT Information</v>
      </c>
    </row>
    <row r="10" spans="2:5" x14ac:dyDescent="0.2">
      <c r="B10" s="62"/>
      <c r="C10" s="445"/>
      <c r="D10" s="83"/>
    </row>
    <row r="11" spans="2:5" ht="26.25" x14ac:dyDescent="0.25">
      <c r="B11" s="470" t="str">
        <f>Input!A10</f>
        <v>Annual Maintenance</v>
      </c>
      <c r="C11" s="446">
        <f>Input!B10</f>
        <v>165856</v>
      </c>
      <c r="D11" s="429" t="str">
        <f>Input!D10</f>
        <v>Based on Average Maintenance Costs per liner mile in SC for similar four lane road</v>
      </c>
    </row>
    <row r="12" spans="2:5" x14ac:dyDescent="0.2">
      <c r="B12" s="62"/>
      <c r="C12" s="445"/>
      <c r="D12" s="83"/>
    </row>
    <row r="13" spans="2:5" ht="15.75" x14ac:dyDescent="0.25">
      <c r="B13" s="428" t="str">
        <f>Input!A14</f>
        <v>Travel Time Savings Calculations</v>
      </c>
      <c r="C13" s="445"/>
      <c r="D13" s="216"/>
    </row>
    <row r="14" spans="2:5" x14ac:dyDescent="0.2">
      <c r="B14" s="62"/>
      <c r="C14" s="445"/>
      <c r="D14" s="83"/>
    </row>
    <row r="15" spans="2:5" x14ac:dyDescent="0.2">
      <c r="B15" s="67" t="str">
        <f>Input!A16</f>
        <v>Travel Time References</v>
      </c>
      <c r="C15" s="68"/>
      <c r="D15" s="83"/>
      <c r="E15" s="31"/>
    </row>
    <row r="16" spans="2:5" x14ac:dyDescent="0.2">
      <c r="B16" s="62" t="str">
        <f>Input!A17</f>
        <v>Vehicle Distribution</v>
      </c>
      <c r="C16" s="447"/>
      <c r="D16" s="83"/>
      <c r="E16" s="31"/>
    </row>
    <row r="17" spans="2:5" ht="26.25" x14ac:dyDescent="0.25">
      <c r="B17" s="69" t="str">
        <f>Input!A18</f>
        <v>Auto</v>
      </c>
      <c r="C17" s="448">
        <f>Input!B18</f>
        <v>0.9</v>
      </c>
      <c r="D17" s="429" t="str">
        <f>Input!D18</f>
        <v>Based on Advanced Project Planning Report of Shop Road Extension for CMCGPC</v>
      </c>
      <c r="E17" s="221"/>
    </row>
    <row r="18" spans="2:5" ht="15" x14ac:dyDescent="0.25">
      <c r="B18" s="69" t="str">
        <f>Input!A19</f>
        <v>Truck</v>
      </c>
      <c r="C18" s="448">
        <f>Input!B19</f>
        <v>0.1</v>
      </c>
      <c r="D18" s="83"/>
    </row>
    <row r="19" spans="2:5" x14ac:dyDescent="0.2">
      <c r="B19" s="69" t="str">
        <f>Input!A20</f>
        <v>Total</v>
      </c>
      <c r="C19" s="449">
        <f>Input!B20</f>
        <v>1</v>
      </c>
      <c r="D19" s="83"/>
      <c r="E19" s="18"/>
    </row>
    <row r="20" spans="2:5" x14ac:dyDescent="0.2">
      <c r="B20" s="62"/>
      <c r="C20" s="445"/>
      <c r="D20" s="83"/>
      <c r="E20" s="31"/>
    </row>
    <row r="21" spans="2:5" x14ac:dyDescent="0.2">
      <c r="B21" s="62" t="str">
        <f>Input!A22</f>
        <v>Time Savings 2020</v>
      </c>
      <c r="C21" s="445"/>
      <c r="D21" s="83"/>
      <c r="E21" s="31"/>
    </row>
    <row r="22" spans="2:5" ht="15" x14ac:dyDescent="0.25">
      <c r="B22" s="69" t="str">
        <f>Input!A23</f>
        <v>Auto</v>
      </c>
      <c r="C22" s="450">
        <f>Input!B23</f>
        <v>125907.19080479654</v>
      </c>
      <c r="D22" s="83" t="str">
        <f>Input!D23</f>
        <v>Calculated based on savings per day inputted below</v>
      </c>
      <c r="E22" s="221"/>
    </row>
    <row r="23" spans="2:5" ht="15" x14ac:dyDescent="0.25">
      <c r="B23" s="69" t="str">
        <f>Input!A24</f>
        <v>Truck</v>
      </c>
      <c r="C23" s="450">
        <f>Input!B24</f>
        <v>13989.687867199616</v>
      </c>
      <c r="D23" s="83"/>
      <c r="E23" s="18"/>
    </row>
    <row r="24" spans="2:5" ht="15" x14ac:dyDescent="0.25">
      <c r="B24" s="69" t="str">
        <f>Input!A25</f>
        <v>Total</v>
      </c>
      <c r="C24" s="450">
        <f>Input!B25</f>
        <v>139896.87867199615</v>
      </c>
      <c r="D24" s="83"/>
      <c r="E24" s="18"/>
    </row>
    <row r="25" spans="2:5" x14ac:dyDescent="0.2">
      <c r="B25" s="62"/>
      <c r="C25" s="445"/>
      <c r="D25" s="83"/>
      <c r="E25" s="31"/>
    </row>
    <row r="26" spans="2:5" x14ac:dyDescent="0.2">
      <c r="B26" s="62" t="str">
        <f>Input!A27</f>
        <v>Time Savings 2020</v>
      </c>
      <c r="C26" s="445"/>
      <c r="D26" s="83"/>
      <c r="E26" s="31"/>
    </row>
    <row r="27" spans="2:5" ht="15" x14ac:dyDescent="0.25">
      <c r="B27" s="69" t="str">
        <f>Input!A28</f>
        <v>Auto</v>
      </c>
      <c r="C27" s="450">
        <f>Input!B28</f>
        <v>209845.31800799424</v>
      </c>
      <c r="D27" s="83" t="str">
        <f>Input!D28</f>
        <v>Calculated based on savings per day inputted below</v>
      </c>
      <c r="E27" s="221"/>
    </row>
    <row r="28" spans="2:5" ht="15" x14ac:dyDescent="0.25">
      <c r="B28" s="69" t="str">
        <f>Input!A29</f>
        <v>Truck</v>
      </c>
      <c r="C28" s="450">
        <f>Input!B29</f>
        <v>23316.146445332692</v>
      </c>
      <c r="D28" s="83"/>
    </row>
    <row r="29" spans="2:5" ht="15" x14ac:dyDescent="0.25">
      <c r="B29" s="69" t="str">
        <f>Input!A30</f>
        <v>Total</v>
      </c>
      <c r="C29" s="450">
        <f>Input!B30</f>
        <v>233161.46445332695</v>
      </c>
      <c r="D29" s="83"/>
    </row>
    <row r="30" spans="2:5" x14ac:dyDescent="0.2">
      <c r="B30" s="62"/>
      <c r="C30" s="445"/>
      <c r="D30" s="83"/>
    </row>
    <row r="31" spans="2:5" x14ac:dyDescent="0.2">
      <c r="B31" s="62" t="str">
        <f>Input!A32</f>
        <v>Travel Time Savings Values Per Hour</v>
      </c>
      <c r="C31" s="445"/>
      <c r="D31" s="83"/>
    </row>
    <row r="32" spans="2:5" ht="15" x14ac:dyDescent="0.25">
      <c r="B32" s="69" t="str">
        <f>Input!A33</f>
        <v>Auto</v>
      </c>
      <c r="C32" s="451">
        <f>Input!B33</f>
        <v>23.9</v>
      </c>
      <c r="D32" s="83" t="str">
        <f>Input!E33</f>
        <v>TIGER BENEFIT-COST ANALYSIS (BCA) RESOURCE GUIDE page 4 of 19</v>
      </c>
    </row>
    <row r="33" spans="2:4" ht="26.25" x14ac:dyDescent="0.25">
      <c r="B33" s="69" t="str">
        <f>Input!A34</f>
        <v>Truck</v>
      </c>
      <c r="C33" s="451">
        <f>Input!B34</f>
        <v>59.61</v>
      </c>
      <c r="D33" s="429" t="str">
        <f>Input!E34</f>
        <v>American Transportation Research Institute (ATRI)  Analysis of the Operational Costs of Trucking 2011</v>
      </c>
    </row>
    <row r="34" spans="2:4" x14ac:dyDescent="0.2">
      <c r="B34" s="62"/>
      <c r="C34" s="445"/>
      <c r="D34" s="83"/>
    </row>
    <row r="35" spans="2:4" x14ac:dyDescent="0.2">
      <c r="B35" s="62" t="str">
        <f>Input!A36</f>
        <v>Year 2020</v>
      </c>
      <c r="C35" s="445"/>
      <c r="D35" s="83"/>
    </row>
    <row r="36" spans="2:4" ht="26.25" x14ac:dyDescent="0.25">
      <c r="B36" s="62" t="str">
        <f>Input!A37</f>
        <v>VHT Savings (hour/day)</v>
      </c>
      <c r="C36" s="450">
        <f>Input!B37</f>
        <v>279.58850549999897</v>
      </c>
      <c r="D36" s="429" t="str">
        <f>Input!C37</f>
        <v>Based on Traffic improvements in area network, CMCOG Transportation Demand Model</v>
      </c>
    </row>
    <row r="37" spans="2:4" ht="15" x14ac:dyDescent="0.25">
      <c r="B37" s="69"/>
      <c r="C37" s="450">
        <f>Input!B38</f>
        <v>103.69061414930553</v>
      </c>
      <c r="D37" s="83" t="str">
        <f>Input!C38</f>
        <v>Rail Delay hours saved</v>
      </c>
    </row>
    <row r="38" spans="2:4" ht="15" x14ac:dyDescent="0.25">
      <c r="B38" s="69"/>
      <c r="C38" s="450">
        <f>Input!B39</f>
        <v>383.2791196493045</v>
      </c>
      <c r="D38" s="83" t="str">
        <f>Input!C39</f>
        <v>Total Hours</v>
      </c>
    </row>
    <row r="39" spans="2:4" ht="15" x14ac:dyDescent="0.25">
      <c r="B39" s="62" t="str">
        <f>Input!A40</f>
        <v>VHT Savings (hour/year)</v>
      </c>
      <c r="C39" s="450">
        <f>Input!B40</f>
        <v>139896.87867199615</v>
      </c>
      <c r="D39" s="83"/>
    </row>
    <row r="40" spans="2:4" ht="15" x14ac:dyDescent="0.25">
      <c r="B40" s="69" t="str">
        <f>Input!A41</f>
        <v>Auto</v>
      </c>
      <c r="C40" s="446">
        <f>Input!B41</f>
        <v>3009181.8602346373</v>
      </c>
      <c r="D40" s="83"/>
    </row>
    <row r="41" spans="2:4" ht="15" x14ac:dyDescent="0.25">
      <c r="B41" s="69" t="str">
        <f>Input!A42</f>
        <v>Truck</v>
      </c>
      <c r="C41" s="446">
        <f>Input!B42</f>
        <v>833925.29376376909</v>
      </c>
      <c r="D41" s="83"/>
    </row>
    <row r="42" spans="2:4" ht="15" x14ac:dyDescent="0.25">
      <c r="B42" s="69" t="str">
        <f>Input!A43</f>
        <v>Total Vehicle Time Savings</v>
      </c>
      <c r="C42" s="446">
        <f>Input!B43</f>
        <v>3843107.1539984066</v>
      </c>
      <c r="D42" s="83"/>
    </row>
    <row r="43" spans="2:4" x14ac:dyDescent="0.2">
      <c r="B43" s="62"/>
      <c r="C43" s="445"/>
      <c r="D43" s="83"/>
    </row>
    <row r="44" spans="2:4" x14ac:dyDescent="0.2">
      <c r="B44" s="62" t="str">
        <f>Input!A45</f>
        <v>Year 2040</v>
      </c>
      <c r="C44" s="445"/>
      <c r="D44" s="83"/>
    </row>
    <row r="45" spans="2:4" ht="26.25" x14ac:dyDescent="0.25">
      <c r="B45" s="69" t="str">
        <f>Input!A46</f>
        <v>VHT Savings (Hours/Day)</v>
      </c>
      <c r="C45" s="450">
        <f>Input!B46</f>
        <v>465.98084249999829</v>
      </c>
      <c r="D45" s="429" t="str">
        <f>Input!C46</f>
        <v>Based on Traffic improvements in area network, CMCOG Transportation Demand Model</v>
      </c>
    </row>
    <row r="46" spans="2:4" ht="15" x14ac:dyDescent="0.25">
      <c r="B46" s="69"/>
      <c r="C46" s="450">
        <f>Input!B47</f>
        <v>172.81769024884255</v>
      </c>
      <c r="D46" s="83" t="str">
        <f>Input!C47</f>
        <v>Rail Delay hours</v>
      </c>
    </row>
    <row r="47" spans="2:4" ht="15" x14ac:dyDescent="0.25">
      <c r="B47" s="69"/>
      <c r="C47" s="450">
        <f>Input!B48</f>
        <v>638.7985327488409</v>
      </c>
      <c r="D47" s="83" t="str">
        <f>Input!C48</f>
        <v>Total Hours</v>
      </c>
    </row>
    <row r="48" spans="2:4" ht="15" x14ac:dyDescent="0.25">
      <c r="B48" s="69" t="str">
        <f>Input!A49</f>
        <v>VHT Savings (Hours/Year)</v>
      </c>
      <c r="C48" s="450">
        <f>Input!B49</f>
        <v>233161.46445332692</v>
      </c>
      <c r="D48" s="83"/>
    </row>
    <row r="49" spans="2:4" ht="15" x14ac:dyDescent="0.25">
      <c r="B49" s="69" t="str">
        <f>Input!A50</f>
        <v>Auto</v>
      </c>
      <c r="C49" s="446">
        <f>Input!B50</f>
        <v>5015303.100391062</v>
      </c>
      <c r="D49" s="83"/>
    </row>
    <row r="50" spans="2:4" ht="15" x14ac:dyDescent="0.25">
      <c r="B50" s="69" t="str">
        <f>Input!A51</f>
        <v xml:space="preserve">Truck </v>
      </c>
      <c r="C50" s="446">
        <f>Input!B51</f>
        <v>1389875.4896062817</v>
      </c>
      <c r="D50" s="83"/>
    </row>
    <row r="51" spans="2:4" ht="15" x14ac:dyDescent="0.25">
      <c r="B51" s="62" t="str">
        <f>Input!A52</f>
        <v>Total Vehicle Time Savings</v>
      </c>
      <c r="C51" s="446">
        <f>Input!B52</f>
        <v>6405178.5899973437</v>
      </c>
      <c r="D51" s="83"/>
    </row>
    <row r="52" spans="2:4" s="252" customFormat="1" x14ac:dyDescent="0.2">
      <c r="B52" s="430"/>
      <c r="C52" s="452"/>
      <c r="D52" s="431"/>
    </row>
    <row r="53" spans="2:4" s="18" customFormat="1" x14ac:dyDescent="0.2">
      <c r="B53" s="466" t="str">
        <f>B5</f>
        <v>DATA</v>
      </c>
      <c r="C53" s="466" t="str">
        <f>C5</f>
        <v>Shop Road Extension</v>
      </c>
      <c r="D53" s="468" t="str">
        <f>D5</f>
        <v>Notes</v>
      </c>
    </row>
    <row r="54" spans="2:4" ht="15.75" x14ac:dyDescent="0.25">
      <c r="B54" s="438" t="str">
        <f>Input!A54</f>
        <v>Vehicle Operating Cost Savings</v>
      </c>
      <c r="C54" s="453"/>
      <c r="D54" s="439"/>
    </row>
    <row r="55" spans="2:4" x14ac:dyDescent="0.2">
      <c r="B55" s="62"/>
      <c r="C55" s="445"/>
      <c r="D55" s="83"/>
    </row>
    <row r="56" spans="2:4" x14ac:dyDescent="0.2">
      <c r="B56" s="67" t="str">
        <f>Input!A56</f>
        <v>Reference</v>
      </c>
      <c r="C56" s="447"/>
      <c r="D56" s="431"/>
    </row>
    <row r="57" spans="2:4" x14ac:dyDescent="0.2">
      <c r="B57" s="62" t="str">
        <f>Input!A57</f>
        <v>VMT Savings 2020</v>
      </c>
      <c r="C57" s="454"/>
      <c r="D57" s="431"/>
    </row>
    <row r="58" spans="2:4" x14ac:dyDescent="0.2">
      <c r="B58" s="69"/>
      <c r="C58" s="120"/>
      <c r="D58" s="83"/>
    </row>
    <row r="59" spans="2:4" x14ac:dyDescent="0.2">
      <c r="B59" s="69" t="str">
        <f>Input!A59</f>
        <v>VMT Savings (Miles/Year)</v>
      </c>
      <c r="C59" s="455">
        <f>Input!B59</f>
        <v>2934.6576544999898</v>
      </c>
      <c r="D59" s="83" t="str">
        <f>Input!C59</f>
        <v>Based on 0.75 x 2030 Modeled Savings of 3913 Miles per year</v>
      </c>
    </row>
    <row r="60" spans="2:4" x14ac:dyDescent="0.2">
      <c r="B60" s="62"/>
      <c r="C60" s="445"/>
      <c r="D60" s="83"/>
    </row>
    <row r="61" spans="2:4" x14ac:dyDescent="0.2">
      <c r="B61" s="62" t="str">
        <f>Input!A61</f>
        <v>VMT Savings 2040</v>
      </c>
      <c r="C61" s="445"/>
      <c r="D61" s="83"/>
    </row>
    <row r="62" spans="2:4" x14ac:dyDescent="0.2">
      <c r="B62" s="69"/>
      <c r="C62" s="445"/>
      <c r="D62" s="83"/>
    </row>
    <row r="63" spans="2:4" x14ac:dyDescent="0.2">
      <c r="B63" s="69" t="str">
        <f>Input!A63</f>
        <v>VMT Savings (Miles/Year)</v>
      </c>
      <c r="C63" s="455">
        <f>Input!B63</f>
        <v>4891.0960908333163</v>
      </c>
      <c r="D63" s="83" t="str">
        <f>Input!C63</f>
        <v>Based on 1.25 x 2030 Modeled Savings of 3913 Miles per year</v>
      </c>
    </row>
    <row r="64" spans="2:4" x14ac:dyDescent="0.2">
      <c r="B64" s="62"/>
      <c r="C64" s="445"/>
      <c r="D64" s="83"/>
    </row>
    <row r="65" spans="2:4" x14ac:dyDescent="0.2">
      <c r="B65" s="62" t="str">
        <f>Input!A65</f>
        <v>Cost Savings per Mile</v>
      </c>
      <c r="C65" s="445"/>
      <c r="D65" s="83"/>
    </row>
    <row r="66" spans="2:4" x14ac:dyDescent="0.2">
      <c r="B66" s="62"/>
      <c r="C66" s="456"/>
      <c r="D66" s="83"/>
    </row>
    <row r="67" spans="2:4" x14ac:dyDescent="0.2">
      <c r="B67" s="69" t="str">
        <f>Input!A66</f>
        <v>Average Cost Per Mile</v>
      </c>
      <c r="C67" s="457">
        <f>Input!B66</f>
        <v>0.60499999999999998</v>
      </c>
      <c r="D67" s="83" t="str">
        <f>Input!C66</f>
        <v>Based on AAA average cost per mile of vehicle operations data.</v>
      </c>
    </row>
    <row r="68" spans="2:4" ht="15" x14ac:dyDescent="0.25">
      <c r="B68" s="471"/>
      <c r="C68" s="458">
        <f>Input!B67</f>
        <v>1.38</v>
      </c>
      <c r="D68" s="83" t="str">
        <f>Input!C67</f>
        <v>http://www.thetruckersreport.com/infographics/cost-of-trucking/</v>
      </c>
    </row>
    <row r="69" spans="2:4" ht="15" x14ac:dyDescent="0.25">
      <c r="B69" s="62" t="str">
        <f>Input!A68</f>
        <v>VOC Savings 2020</v>
      </c>
      <c r="C69" s="469">
        <f>Input!B68</f>
        <v>-405.52725632099902</v>
      </c>
      <c r="D69" s="88"/>
    </row>
    <row r="70" spans="2:4" ht="15" x14ac:dyDescent="0.25">
      <c r="B70" s="62" t="str">
        <f>Input!A69</f>
        <v>VOC Savings 2040</v>
      </c>
      <c r="C70" s="469">
        <f>Input!B69</f>
        <v>-675.51576053499798</v>
      </c>
      <c r="D70" s="88"/>
    </row>
    <row r="71" spans="2:4" x14ac:dyDescent="0.2">
      <c r="B71" s="62"/>
      <c r="C71" s="445"/>
      <c r="D71" s="83"/>
    </row>
    <row r="72" spans="2:4" ht="15.75" x14ac:dyDescent="0.25">
      <c r="B72" s="432" t="str">
        <f>Input!A71</f>
        <v>Crash Savings Benefits</v>
      </c>
      <c r="C72" s="445"/>
      <c r="D72" s="83"/>
    </row>
    <row r="73" spans="2:4" x14ac:dyDescent="0.2">
      <c r="B73" s="62"/>
      <c r="C73" s="445"/>
      <c r="D73" s="83"/>
    </row>
    <row r="74" spans="2:4" ht="26.25" x14ac:dyDescent="0.25">
      <c r="B74" s="472" t="str">
        <f>Input!A73</f>
        <v>Value of Fatal Crash</v>
      </c>
      <c r="C74" s="446">
        <f>Input!B73</f>
        <v>6200000</v>
      </c>
      <c r="D74" s="429" t="str">
        <f>Input!C73</f>
        <v>DOT Memorandum on Treatment of Economic Value of a Statistical Life in Departmental Analyses - 2009</v>
      </c>
    </row>
    <row r="75" spans="2:4" ht="15" x14ac:dyDescent="0.25">
      <c r="B75" s="472" t="str">
        <f>Input!A74</f>
        <v>Value of Injury Crash</v>
      </c>
      <c r="C75" s="446">
        <f>Input!B74</f>
        <v>230000</v>
      </c>
      <c r="D75" s="429" t="str">
        <f>Input!C74</f>
        <v>National Safety Council Data</v>
      </c>
    </row>
    <row r="76" spans="2:4" ht="15" x14ac:dyDescent="0.25">
      <c r="B76" s="472" t="str">
        <f>Input!A75</f>
        <v>Value of Property Damage Only Crash</v>
      </c>
      <c r="C76" s="446">
        <f>Input!B75</f>
        <v>8900</v>
      </c>
      <c r="D76" s="429" t="str">
        <f>Input!C75</f>
        <v>National Safety Council Data</v>
      </c>
    </row>
    <row r="77" spans="2:4" x14ac:dyDescent="0.2">
      <c r="B77" s="62"/>
      <c r="C77" s="459"/>
      <c r="D77" s="83"/>
    </row>
    <row r="78" spans="2:4" ht="38.25" x14ac:dyDescent="0.2">
      <c r="B78" s="433" t="s">
        <v>531</v>
      </c>
      <c r="C78" s="460">
        <f>C81/C75</f>
        <v>1.8974713164251209</v>
      </c>
      <c r="D78" s="434" t="str">
        <f>'Crash Data'!L29</f>
        <v>Estimated Reduction in accidents on Garners Ferry and Pineview Roads (50%) assumes less major intersections results in less rear end crashes.  50% of crashes are rear end crashes</v>
      </c>
    </row>
    <row r="79" spans="2:4" x14ac:dyDescent="0.2">
      <c r="B79" s="433" t="s">
        <v>532</v>
      </c>
      <c r="C79" s="460">
        <f>C82/C76</f>
        <v>4.4726109601449267</v>
      </c>
      <c r="D79" s="435"/>
    </row>
    <row r="80" spans="2:4" x14ac:dyDescent="0.2">
      <c r="B80" s="62"/>
      <c r="C80" s="443"/>
      <c r="D80" s="83"/>
    </row>
    <row r="81" spans="2:4" ht="15" x14ac:dyDescent="0.25">
      <c r="B81" s="470" t="str">
        <f>Input!A90</f>
        <v>Total Value of Crashes Saved 2020 - Injury</v>
      </c>
      <c r="C81" s="446">
        <f>Input!B90</f>
        <v>436418.40277777781</v>
      </c>
      <c r="D81" s="83"/>
    </row>
    <row r="82" spans="2:4" ht="15" x14ac:dyDescent="0.25">
      <c r="B82" s="470" t="str">
        <f>Input!A91</f>
        <v>Total Value of Crashes Saved 2020 - PDO</v>
      </c>
      <c r="C82" s="446">
        <f>Input!B91</f>
        <v>39806.237545289849</v>
      </c>
      <c r="D82" s="83"/>
    </row>
    <row r="83" spans="2:4" ht="15" x14ac:dyDescent="0.25">
      <c r="B83" s="470" t="str">
        <f>Input!A92</f>
        <v>Total</v>
      </c>
      <c r="C83" s="461">
        <f>Input!B92</f>
        <v>476224.64032306767</v>
      </c>
      <c r="D83" s="436"/>
    </row>
    <row r="84" spans="2:4" s="18" customFormat="1" x14ac:dyDescent="0.2">
      <c r="B84" s="62"/>
      <c r="C84" s="443"/>
      <c r="D84" s="83"/>
    </row>
    <row r="85" spans="2:4" ht="15.75" x14ac:dyDescent="0.25">
      <c r="B85" s="437" t="str">
        <f>Input!A94</f>
        <v>Job Creation Tax Benefits</v>
      </c>
      <c r="C85" s="443"/>
      <c r="D85" s="95"/>
    </row>
    <row r="86" spans="2:4" x14ac:dyDescent="0.2">
      <c r="B86" s="62"/>
      <c r="C86" s="445"/>
      <c r="D86" s="83"/>
    </row>
    <row r="87" spans="2:4" ht="25.5" x14ac:dyDescent="0.2">
      <c r="B87" s="470" t="str">
        <f>Input!A96</f>
        <v>Estimate of Construction Based Jobs Created</v>
      </c>
      <c r="C87" s="455">
        <f>Input!B96/4</f>
        <v>97.727613844445116</v>
      </c>
      <c r="D87" s="434" t="str">
        <f>Input!C96</f>
        <v>Based on IMPLAN 2012 of 1 Employment Year per $166,565 spent (from 2012 IMPLAN) 6.00 direct jobs/$million</v>
      </c>
    </row>
    <row r="88" spans="2:4" x14ac:dyDescent="0.2">
      <c r="B88" s="62"/>
      <c r="C88" s="445"/>
      <c r="D88" s="83"/>
    </row>
    <row r="89" spans="2:4" ht="26.25" x14ac:dyDescent="0.25">
      <c r="B89" s="470" t="str">
        <f>Input!A98</f>
        <v>Average Wages per Job (2010)</v>
      </c>
      <c r="C89" s="446" t="e">
        <f>Input!B98</f>
        <v>#REF!</v>
      </c>
      <c r="D89" s="434" t="str">
        <f>Input!C98</f>
        <v>Based on 2014 SC Wage Survey BLS Data for Construction/Maintenance, Suppliers and  Civil Engineering</v>
      </c>
    </row>
    <row r="90" spans="2:4" ht="25.5" x14ac:dyDescent="0.2">
      <c r="B90" s="470" t="str">
        <f>Input!A99</f>
        <v>Tax Percentage per Job</v>
      </c>
      <c r="C90" s="462">
        <f>Input!B99</f>
        <v>0.20800000000000002</v>
      </c>
      <c r="D90" s="434" t="str">
        <f>Input!C99</f>
        <v>Based on IRS Data on Average Federal Percentage (13.8%) Paid plus SC State Tax Rate (7%) Data</v>
      </c>
    </row>
    <row r="91" spans="2:4" x14ac:dyDescent="0.2">
      <c r="B91" s="62"/>
      <c r="C91" s="445"/>
      <c r="D91" s="83"/>
    </row>
    <row r="92" spans="2:4" ht="25.5" customHeight="1" x14ac:dyDescent="0.2">
      <c r="B92" s="442" t="str">
        <f>Input!A101</f>
        <v>Net Long-Term Economic Development Jobs Created</v>
      </c>
      <c r="C92" s="455">
        <f>Input!B101</f>
        <v>3000</v>
      </c>
      <c r="D92" s="216" t="str">
        <f>Input!C101</f>
        <v>Known industry development</v>
      </c>
    </row>
    <row r="93" spans="2:4" ht="28.5" customHeight="1" x14ac:dyDescent="0.2">
      <c r="B93" s="442" t="str">
        <f>Input!A102</f>
        <v>Net Long-Term Economic Development Jobs Created</v>
      </c>
      <c r="C93" s="455">
        <f>Input!B102</f>
        <v>7582.5</v>
      </c>
      <c r="D93" s="216" t="str">
        <f>Input!C102</f>
        <v>Based on Redevelopment/Land Use Analysis</v>
      </c>
    </row>
    <row r="94" spans="2:4" x14ac:dyDescent="0.2">
      <c r="B94" s="79"/>
      <c r="C94" s="455">
        <f>Input!B103</f>
        <v>10582.5</v>
      </c>
      <c r="D94" s="216" t="str">
        <f>Input!C103</f>
        <v>Total Based on known development and redev land use analysis</v>
      </c>
    </row>
    <row r="95" spans="2:4" ht="26.25" x14ac:dyDescent="0.25">
      <c r="B95" s="79" t="str">
        <f>Input!A104</f>
        <v>Average Value per Job (2014)</v>
      </c>
      <c r="C95" s="446" t="e">
        <f>Input!B104</f>
        <v>#REF!</v>
      </c>
      <c r="D95" s="434" t="str">
        <f>Input!C104</f>
        <v>Based on SC Wage Survey Data for Several Industrial/Commercial Wage Categories for Common Industries in Project Area.</v>
      </c>
    </row>
    <row r="96" spans="2:4" ht="25.5" x14ac:dyDescent="0.2">
      <c r="B96" s="79" t="str">
        <f>Input!A105</f>
        <v>Tax Percentage per Job</v>
      </c>
      <c r="C96" s="462">
        <f>Input!B105</f>
        <v>0.20800000000000002</v>
      </c>
      <c r="D96" s="434" t="str">
        <f>Input!C105</f>
        <v>Based on IRS Data on Average Federal Percentage (13.8%) Paid plus SC State Tax Rate (7%) Data</v>
      </c>
    </row>
    <row r="97" spans="2:4" x14ac:dyDescent="0.2">
      <c r="B97" s="430"/>
      <c r="C97" s="452"/>
      <c r="D97" s="431"/>
    </row>
    <row r="98" spans="2:4" x14ac:dyDescent="0.2">
      <c r="B98" s="96" t="str">
        <f>B53</f>
        <v>DATA</v>
      </c>
      <c r="C98" s="96" t="str">
        <f>C53</f>
        <v>Shop Road Extension</v>
      </c>
      <c r="D98" s="427" t="str">
        <f>D53</f>
        <v>Notes</v>
      </c>
    </row>
    <row r="99" spans="2:4" ht="31.5" x14ac:dyDescent="0.25">
      <c r="B99" s="440" t="str">
        <f>Input!A107</f>
        <v>Property Tax Benefits Through Development</v>
      </c>
      <c r="C99" s="443"/>
      <c r="D99" s="473"/>
    </row>
    <row r="100" spans="2:4" x14ac:dyDescent="0.2">
      <c r="B100" s="62"/>
      <c r="C100" s="445"/>
      <c r="D100" s="83"/>
    </row>
    <row r="101" spans="2:4" ht="51.75" x14ac:dyDescent="0.25">
      <c r="B101" s="79" t="str">
        <f>'Property Taxes'!A12</f>
        <v>Residential</v>
      </c>
      <c r="C101" s="446">
        <f>'Property Taxes'!C12</f>
        <v>1800542</v>
      </c>
      <c r="D101" s="434" t="str">
        <f>'Property Taxes'!A7</f>
        <v>Increased property taxes for these new residential units were $99,587 in Yr 1 (2021), $732,964 in Yr 5 (2025) and $1,800,542 at build out in 2035 (fyi this assumes that is a 10% vacancy rate in the development i.e. some lots remain vacant)</v>
      </c>
    </row>
    <row r="102" spans="2:4" ht="64.5" x14ac:dyDescent="0.25">
      <c r="B102" s="79" t="str">
        <f>'Property Taxes'!A13</f>
        <v>Industrial   </v>
      </c>
      <c r="C102" s="446">
        <f>'Property Taxes'!C13</f>
        <v>5789089</v>
      </c>
      <c r="D102" s="434" t="str">
        <f>'Property Taxes'!A8</f>
        <v>For industrial development 450 acres net developable acreage was allocated. Using a 4:1 ground coverage ratio this property would support 112 acres under roof.  Assuming a $50/ s.f including land cost the increase property taxes from industrial development will be $5,789,089.  It was assumed development of this property in 2020 with build out over a 20-year period</v>
      </c>
    </row>
    <row r="103" spans="2:4" ht="39" x14ac:dyDescent="0.25">
      <c r="B103" s="79" t="str">
        <f>'Property Taxes'!A14</f>
        <v>Commercial</v>
      </c>
      <c r="C103" s="446">
        <f>'Property Taxes'!C14</f>
        <v>1318052</v>
      </c>
      <c r="D103" s="434" t="str">
        <f>'Property Taxes'!A9</f>
        <v>For commercial development 85 acres of net developable acreage was allocated, 30% floor area ratio, $50.00/s.f. for construction and land increasing property taxes from commercial development at build out by $1,318,052</v>
      </c>
    </row>
    <row r="104" spans="2:4" ht="15" x14ac:dyDescent="0.25">
      <c r="B104" s="79" t="str">
        <f>'Property Taxes'!A15</f>
        <v>Total            </v>
      </c>
      <c r="C104" s="446">
        <f>'Property Taxes'!C15</f>
        <v>8907683</v>
      </c>
      <c r="D104" s="431"/>
    </row>
    <row r="105" spans="2:4" ht="15.75" x14ac:dyDescent="0.25">
      <c r="B105" s="440" t="str">
        <f>Input!A118</f>
        <v>Values of Carbon Saved</v>
      </c>
      <c r="C105" s="447"/>
      <c r="D105" s="83"/>
    </row>
    <row r="106" spans="2:4" x14ac:dyDescent="0.2">
      <c r="B106" s="79"/>
      <c r="C106" s="463">
        <f>Input!B119</f>
        <v>103.69061414930553</v>
      </c>
      <c r="D106" s="83" t="str">
        <f>Input!C119</f>
        <v>Rail Delay hours saved</v>
      </c>
    </row>
    <row r="107" spans="2:4" x14ac:dyDescent="0.2">
      <c r="B107" s="79"/>
      <c r="C107" s="463">
        <f>Input!B121</f>
        <v>9.4007984600043379E-2</v>
      </c>
      <c r="D107" s="467" t="str">
        <f>Input!C121</f>
        <v>Rail Delay Metric Tons</v>
      </c>
    </row>
    <row r="108" spans="2:4" x14ac:dyDescent="0.2">
      <c r="B108" s="79" t="str">
        <f>Input!A122</f>
        <v>Total Tons of Carbon Saved Per Year on Average</v>
      </c>
      <c r="C108" s="464">
        <f>Input!B122</f>
        <v>-1.6159920153999565</v>
      </c>
      <c r="D108" s="83" t="str">
        <f>Input!C122</f>
        <v>Based on Change in 2030 Vehicle Miles Traveled (in tons not metric tonnes)</v>
      </c>
    </row>
    <row r="109" spans="2:4" x14ac:dyDescent="0.2">
      <c r="B109" s="79" t="str">
        <f>Input!A123</f>
        <v>Value per Ton of Carbon</v>
      </c>
      <c r="C109" s="447">
        <f>Input!B123</f>
        <v>13</v>
      </c>
      <c r="D109" s="474" t="str">
        <f>Input!C123</f>
        <v>http://www.epa.gov/climatechange/EPAactivities/economics/scc.html</v>
      </c>
    </row>
    <row r="110" spans="2:4" x14ac:dyDescent="0.2">
      <c r="B110" s="79"/>
      <c r="C110" s="447"/>
      <c r="D110" s="83"/>
    </row>
    <row r="111" spans="2:4" ht="15.75" x14ac:dyDescent="0.25">
      <c r="B111" s="440" t="str">
        <f>Input!A125</f>
        <v>Residual Values</v>
      </c>
      <c r="C111" s="447"/>
      <c r="D111" s="83"/>
    </row>
    <row r="112" spans="2:4" x14ac:dyDescent="0.2">
      <c r="B112" s="79"/>
      <c r="C112" s="447"/>
      <c r="D112" s="83"/>
    </row>
    <row r="113" spans="2:4" x14ac:dyDescent="0.2">
      <c r="B113" s="67" t="str">
        <f>Input!A127</f>
        <v>Reference</v>
      </c>
      <c r="C113" s="447"/>
      <c r="D113" s="83"/>
    </row>
    <row r="114" spans="2:4" ht="15" x14ac:dyDescent="0.25">
      <c r="B114" s="69" t="str">
        <f>Input!A128</f>
        <v>Value of Right-of-Way</v>
      </c>
      <c r="C114" s="446">
        <f>Input!B128</f>
        <v>6689000</v>
      </c>
      <c r="D114" s="473"/>
    </row>
    <row r="115" spans="2:4" ht="15" x14ac:dyDescent="0.25">
      <c r="B115" s="69" t="str">
        <f>Input!A129</f>
        <v>Value of Bridges</v>
      </c>
      <c r="C115" s="446">
        <f>Input!B129</f>
        <v>24000000</v>
      </c>
      <c r="D115" s="88"/>
    </row>
    <row r="116" spans="2:4" ht="15" x14ac:dyDescent="0.25">
      <c r="B116" s="69" t="str">
        <f>Input!A130</f>
        <v>Value of Roadway</v>
      </c>
      <c r="C116" s="446">
        <f>Input!B130</f>
        <v>41112000</v>
      </c>
      <c r="D116" s="92"/>
    </row>
    <row r="117" spans="2:4" ht="15" x14ac:dyDescent="0.25">
      <c r="B117" s="69" t="str">
        <f>Input!A131</f>
        <v>Total Value</v>
      </c>
      <c r="C117" s="446">
        <f>SUM(C114:C116)</f>
        <v>71801000</v>
      </c>
      <c r="D117" s="92" t="str">
        <f>D9</f>
        <v>Based on OKDOT Information</v>
      </c>
    </row>
    <row r="118" spans="2:4" x14ac:dyDescent="0.2">
      <c r="B118" s="69" t="str">
        <f>Input!A132</f>
        <v>Cross Check Capital Cost - Total Value</v>
      </c>
      <c r="C118" s="447"/>
      <c r="D118" s="83"/>
    </row>
    <row r="119" spans="2:4" x14ac:dyDescent="0.2">
      <c r="B119" s="69" t="str">
        <f>Input!A133</f>
        <v>Right-of-Way Residual</v>
      </c>
      <c r="C119" s="465">
        <f>Input!B133</f>
        <v>1</v>
      </c>
      <c r="D119" s="90"/>
    </row>
    <row r="120" spans="2:4" x14ac:dyDescent="0.2">
      <c r="B120" s="69" t="str">
        <f>Input!A134</f>
        <v>Bridge Residual</v>
      </c>
      <c r="C120" s="465">
        <f>Input!B134</f>
        <v>0.4</v>
      </c>
      <c r="D120" s="90"/>
    </row>
    <row r="121" spans="2:4" x14ac:dyDescent="0.2">
      <c r="B121" s="69" t="str">
        <f>Input!A135</f>
        <v>Roadway Residual</v>
      </c>
      <c r="C121" s="465">
        <f>Input!B135</f>
        <v>0.15</v>
      </c>
      <c r="D121" s="90"/>
    </row>
    <row r="122" spans="2:4" x14ac:dyDescent="0.2">
      <c r="B122" s="79"/>
      <c r="C122" s="447"/>
      <c r="D122" s="83"/>
    </row>
    <row r="123" spans="2:4" x14ac:dyDescent="0.2">
      <c r="B123" s="69"/>
      <c r="C123" s="447"/>
      <c r="D123" s="83"/>
    </row>
    <row r="124" spans="2:4" ht="15" x14ac:dyDescent="0.25">
      <c r="B124" s="98" t="str">
        <f>Input!A138</f>
        <v>Residual Values</v>
      </c>
      <c r="C124" s="446">
        <f>Input!B138</f>
        <v>28967000</v>
      </c>
      <c r="D124" s="91"/>
    </row>
  </sheetData>
  <pageMargins left="0.7" right="0.7" top="0.75" bottom="0.75" header="0.3" footer="0.3"/>
  <pageSetup paperSize="0"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48"/>
  <sheetViews>
    <sheetView zoomScaleNormal="100" workbookViewId="0"/>
  </sheetViews>
  <sheetFormatPr defaultRowHeight="12.75" x14ac:dyDescent="0.2"/>
  <cols>
    <col min="1" max="1" width="49.7109375" customWidth="1"/>
    <col min="2" max="2" width="24.42578125" customWidth="1"/>
    <col min="3" max="3" width="17.42578125" customWidth="1"/>
    <col min="4" max="4" width="27.85546875" customWidth="1"/>
    <col min="5" max="5" width="26.140625" customWidth="1"/>
    <col min="6" max="6" width="12.85546875" bestFit="1" customWidth="1"/>
  </cols>
  <sheetData>
    <row r="1" spans="1:7" ht="18" x14ac:dyDescent="0.25">
      <c r="A1" s="513" t="s">
        <v>1006</v>
      </c>
      <c r="B1" s="514"/>
    </row>
    <row r="2" spans="1:7" ht="15.75" x14ac:dyDescent="0.25">
      <c r="A2" s="515" t="s">
        <v>538</v>
      </c>
      <c r="B2" s="514"/>
    </row>
    <row r="3" spans="1:7" ht="15.75" x14ac:dyDescent="0.25">
      <c r="A3" s="1020" t="s">
        <v>46</v>
      </c>
      <c r="B3" s="1020"/>
    </row>
    <row r="4" spans="1:7" x14ac:dyDescent="0.2">
      <c r="A4" s="96" t="s">
        <v>3</v>
      </c>
      <c r="B4" s="516" t="s">
        <v>539</v>
      </c>
      <c r="C4" s="97" t="s">
        <v>59</v>
      </c>
      <c r="D4" s="97" t="s">
        <v>59</v>
      </c>
      <c r="E4" s="30"/>
      <c r="F4" s="31"/>
      <c r="G4" s="31"/>
    </row>
    <row r="5" spans="1:7" x14ac:dyDescent="0.2">
      <c r="A5" s="93"/>
      <c r="B5" s="101"/>
      <c r="C5" s="95"/>
      <c r="D5" s="31"/>
      <c r="E5" s="31"/>
      <c r="F5" s="31"/>
      <c r="G5" s="31"/>
    </row>
    <row r="6" spans="1:7" ht="15" x14ac:dyDescent="0.25">
      <c r="A6" s="108" t="s">
        <v>70</v>
      </c>
      <c r="B6" s="517">
        <v>8</v>
      </c>
      <c r="C6" s="83"/>
      <c r="D6" s="518" t="s">
        <v>540</v>
      </c>
      <c r="E6" s="32"/>
      <c r="F6" s="31"/>
      <c r="G6" s="31"/>
    </row>
    <row r="7" spans="1:7" x14ac:dyDescent="0.2">
      <c r="A7" s="108"/>
      <c r="B7" s="18"/>
      <c r="C7" s="83"/>
      <c r="D7" s="18"/>
      <c r="E7" s="31"/>
      <c r="F7" s="31"/>
      <c r="G7" s="31"/>
    </row>
    <row r="8" spans="1:7" ht="15" x14ac:dyDescent="0.25">
      <c r="A8" s="519" t="s">
        <v>541</v>
      </c>
      <c r="B8" s="561">
        <v>180600000</v>
      </c>
      <c r="C8" s="83"/>
      <c r="D8" s="562" t="str">
        <f>D6</f>
        <v>Based on OKDOT Information</v>
      </c>
      <c r="E8" s="31"/>
      <c r="F8" s="31"/>
      <c r="G8" s="31"/>
    </row>
    <row r="9" spans="1:7" x14ac:dyDescent="0.2">
      <c r="A9" s="108"/>
      <c r="B9" s="18"/>
      <c r="C9" s="83"/>
      <c r="D9" s="18"/>
      <c r="E9" s="31"/>
      <c r="F9" s="31"/>
      <c r="G9" s="31"/>
    </row>
    <row r="10" spans="1:7" ht="15" x14ac:dyDescent="0.25">
      <c r="A10" s="108" t="s">
        <v>71</v>
      </c>
      <c r="B10" s="521">
        <f>(Maintenance_per_LM!F10*4)*B6</f>
        <v>165856</v>
      </c>
      <c r="C10" s="83"/>
      <c r="D10" s="520" t="s">
        <v>525</v>
      </c>
      <c r="E10" s="33"/>
      <c r="F10" s="31"/>
      <c r="G10" s="31"/>
    </row>
    <row r="11" spans="1:7" x14ac:dyDescent="0.2">
      <c r="A11" s="62"/>
      <c r="B11" s="63"/>
      <c r="C11" s="83"/>
      <c r="D11" s="31"/>
      <c r="E11" s="31"/>
      <c r="F11" s="31"/>
      <c r="G11" s="31"/>
    </row>
    <row r="12" spans="1:7" x14ac:dyDescent="0.2">
      <c r="A12" s="64"/>
      <c r="B12" s="63"/>
      <c r="C12" s="83"/>
      <c r="D12" s="31"/>
      <c r="E12" s="31"/>
      <c r="F12" s="31"/>
      <c r="G12" s="31"/>
    </row>
    <row r="13" spans="1:7" x14ac:dyDescent="0.2">
      <c r="A13" s="62"/>
      <c r="B13" s="63"/>
      <c r="C13" s="83"/>
      <c r="D13" s="31"/>
      <c r="E13" s="31"/>
      <c r="F13" s="31"/>
      <c r="G13" s="31"/>
    </row>
    <row r="14" spans="1:7" ht="18" x14ac:dyDescent="0.25">
      <c r="A14" s="65" t="s">
        <v>18</v>
      </c>
      <c r="B14" s="63"/>
      <c r="C14" s="83"/>
      <c r="D14" s="31"/>
      <c r="E14" s="31"/>
      <c r="F14" s="31"/>
      <c r="G14" s="31"/>
    </row>
    <row r="15" spans="1:7" ht="18" x14ac:dyDescent="0.25">
      <c r="A15" s="66"/>
      <c r="B15" s="63"/>
      <c r="C15" s="83"/>
      <c r="D15" s="31"/>
      <c r="E15" s="31"/>
      <c r="F15" s="31"/>
      <c r="G15" s="31"/>
    </row>
    <row r="16" spans="1:7" x14ac:dyDescent="0.2">
      <c r="A16" s="109" t="s">
        <v>19</v>
      </c>
      <c r="B16" s="68"/>
      <c r="C16" s="83"/>
      <c r="D16" s="31"/>
      <c r="E16" s="31"/>
      <c r="F16" s="31"/>
      <c r="G16" s="31"/>
    </row>
    <row r="17" spans="1:7" x14ac:dyDescent="0.2">
      <c r="A17" s="108" t="s">
        <v>16</v>
      </c>
      <c r="B17" s="61"/>
      <c r="C17" s="83"/>
      <c r="D17" s="31"/>
      <c r="E17" s="31"/>
      <c r="F17" s="31"/>
      <c r="G17" s="31"/>
    </row>
    <row r="18" spans="1:7" ht="15" x14ac:dyDescent="0.25">
      <c r="A18" s="69" t="s">
        <v>35</v>
      </c>
      <c r="B18" s="102">
        <v>0.9</v>
      </c>
      <c r="C18" s="83" t="s">
        <v>35</v>
      </c>
      <c r="D18" s="221" t="s">
        <v>526</v>
      </c>
      <c r="E18" s="35"/>
      <c r="F18" s="31"/>
      <c r="G18" s="31"/>
    </row>
    <row r="19" spans="1:7" ht="15" x14ac:dyDescent="0.25">
      <c r="A19" s="69" t="s">
        <v>36</v>
      </c>
      <c r="B19" s="102">
        <v>0.1</v>
      </c>
      <c r="C19" s="83" t="s">
        <v>36</v>
      </c>
      <c r="E19" s="35"/>
      <c r="F19" s="31"/>
      <c r="G19" s="31"/>
    </row>
    <row r="20" spans="1:7" x14ac:dyDescent="0.2">
      <c r="A20" s="69" t="s">
        <v>9</v>
      </c>
      <c r="B20" s="103">
        <f>SUM(B18:B19)</f>
        <v>1</v>
      </c>
      <c r="C20" s="83" t="s">
        <v>9</v>
      </c>
      <c r="D20" s="18"/>
      <c r="E20" s="36"/>
      <c r="F20" s="31"/>
      <c r="G20" s="31"/>
    </row>
    <row r="21" spans="1:7" x14ac:dyDescent="0.2">
      <c r="A21" s="62"/>
      <c r="B21" s="70"/>
      <c r="C21" s="83"/>
      <c r="D21" s="31"/>
      <c r="E21" s="31"/>
      <c r="F21" s="31"/>
      <c r="G21" s="31"/>
    </row>
    <row r="22" spans="1:7" x14ac:dyDescent="0.2">
      <c r="A22" s="62" t="s">
        <v>527</v>
      </c>
      <c r="B22" s="70"/>
      <c r="C22" s="83"/>
      <c r="D22" s="31"/>
      <c r="E22" s="31"/>
      <c r="F22" s="31"/>
      <c r="G22" s="31"/>
    </row>
    <row r="23" spans="1:7" ht="15" x14ac:dyDescent="0.25">
      <c r="A23" s="69" t="s">
        <v>35</v>
      </c>
      <c r="B23" s="676">
        <f>B$40*B18</f>
        <v>125907.19080479654</v>
      </c>
      <c r="C23" s="83" t="s">
        <v>35</v>
      </c>
      <c r="D23" s="221" t="s">
        <v>68</v>
      </c>
      <c r="E23" s="36"/>
      <c r="F23" s="31"/>
      <c r="G23" s="31"/>
    </row>
    <row r="24" spans="1:7" ht="15" x14ac:dyDescent="0.25">
      <c r="A24" s="69" t="s">
        <v>36</v>
      </c>
      <c r="B24" s="104">
        <f>B$40*B19</f>
        <v>13989.687867199616</v>
      </c>
      <c r="C24" s="83" t="s">
        <v>36</v>
      </c>
      <c r="D24" s="18"/>
      <c r="E24" s="36"/>
      <c r="F24" s="31"/>
      <c r="G24" s="31"/>
    </row>
    <row r="25" spans="1:7" ht="15" x14ac:dyDescent="0.25">
      <c r="A25" s="69" t="s">
        <v>9</v>
      </c>
      <c r="B25" s="104">
        <f>SUM(B23:B24)</f>
        <v>139896.87867199615</v>
      </c>
      <c r="C25" s="83" t="s">
        <v>9</v>
      </c>
      <c r="D25" s="18"/>
      <c r="E25" s="36"/>
      <c r="F25" s="31"/>
      <c r="G25" s="31"/>
    </row>
    <row r="26" spans="1:7" x14ac:dyDescent="0.2">
      <c r="A26" s="62"/>
      <c r="B26" s="70"/>
      <c r="C26" s="83"/>
      <c r="D26" s="31"/>
      <c r="E26" s="31"/>
      <c r="F26" s="31"/>
      <c r="G26" s="31"/>
    </row>
    <row r="27" spans="1:7" x14ac:dyDescent="0.2">
      <c r="A27" s="62" t="s">
        <v>527</v>
      </c>
      <c r="B27" s="70"/>
      <c r="C27" s="83"/>
      <c r="D27" s="31"/>
      <c r="E27" s="31"/>
      <c r="F27" s="31"/>
      <c r="G27" s="31"/>
    </row>
    <row r="28" spans="1:7" ht="15" x14ac:dyDescent="0.25">
      <c r="A28" s="69" t="s">
        <v>35</v>
      </c>
      <c r="B28" s="104">
        <f>B$49*B18</f>
        <v>209845.31800799424</v>
      </c>
      <c r="C28" s="83" t="s">
        <v>35</v>
      </c>
      <c r="D28" s="221" t="s">
        <v>68</v>
      </c>
      <c r="E28" s="36"/>
      <c r="F28" s="31"/>
      <c r="G28" s="31"/>
    </row>
    <row r="29" spans="1:7" ht="15" x14ac:dyDescent="0.25">
      <c r="A29" s="69" t="s">
        <v>36</v>
      </c>
      <c r="B29" s="104">
        <f>B$49*B19</f>
        <v>23316.146445332692</v>
      </c>
      <c r="C29" s="83" t="s">
        <v>36</v>
      </c>
      <c r="D29" s="18"/>
      <c r="E29" s="36"/>
      <c r="F29" s="31"/>
      <c r="G29" s="31"/>
    </row>
    <row r="30" spans="1:7" ht="15" x14ac:dyDescent="0.25">
      <c r="A30" s="69" t="s">
        <v>9</v>
      </c>
      <c r="B30" s="104">
        <f>SUM(B28:B29)</f>
        <v>233161.46445332695</v>
      </c>
      <c r="C30" s="83" t="s">
        <v>9</v>
      </c>
      <c r="D30" s="18"/>
      <c r="E30" s="36"/>
      <c r="F30" s="31"/>
      <c r="G30" s="31"/>
    </row>
    <row r="31" spans="1:7" x14ac:dyDescent="0.2">
      <c r="A31" s="69"/>
      <c r="B31" s="70"/>
      <c r="C31" s="84"/>
      <c r="D31" s="36"/>
      <c r="E31" s="36"/>
      <c r="F31" s="31"/>
      <c r="G31" s="31"/>
    </row>
    <row r="32" spans="1:7" x14ac:dyDescent="0.2">
      <c r="A32" s="110" t="s">
        <v>38</v>
      </c>
      <c r="B32" s="71"/>
      <c r="C32" s="83"/>
      <c r="D32" s="31"/>
      <c r="E32" s="31"/>
      <c r="F32" s="31"/>
      <c r="G32" s="31"/>
    </row>
    <row r="33" spans="1:51" s="9" customFormat="1" ht="15" x14ac:dyDescent="0.25">
      <c r="A33" s="69" t="s">
        <v>35</v>
      </c>
      <c r="B33" s="105">
        <v>23.9</v>
      </c>
      <c r="C33" s="83" t="s">
        <v>35</v>
      </c>
      <c r="D33" s="308" t="s">
        <v>137</v>
      </c>
      <c r="E33" s="195" t="s">
        <v>139</v>
      </c>
      <c r="F33" s="37"/>
      <c r="G33" s="37"/>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row>
    <row r="34" spans="1:51" s="9" customFormat="1" ht="15" x14ac:dyDescent="0.25">
      <c r="A34" s="72" t="s">
        <v>36</v>
      </c>
      <c r="B34" s="105">
        <v>59.61</v>
      </c>
      <c r="C34" s="83" t="s">
        <v>36</v>
      </c>
      <c r="D34" s="308" t="s">
        <v>137</v>
      </c>
      <c r="E34" s="195" t="s">
        <v>138</v>
      </c>
      <c r="F34" s="37"/>
      <c r="G34" s="37"/>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row>
    <row r="35" spans="1:51" x14ac:dyDescent="0.2">
      <c r="A35" s="72"/>
      <c r="B35" s="71"/>
      <c r="C35" s="83"/>
      <c r="D35" s="31"/>
      <c r="E35" s="31"/>
      <c r="F35" s="31"/>
      <c r="G35" s="31"/>
    </row>
    <row r="36" spans="1:51" x14ac:dyDescent="0.2">
      <c r="A36" s="111" t="s">
        <v>351</v>
      </c>
      <c r="B36" s="73"/>
      <c r="C36" s="83"/>
      <c r="D36" s="31"/>
      <c r="E36" s="31"/>
      <c r="F36" s="31"/>
      <c r="G36" s="31"/>
    </row>
    <row r="37" spans="1:51" x14ac:dyDescent="0.2">
      <c r="A37" s="111" t="s">
        <v>72</v>
      </c>
      <c r="B37" s="271">
        <f>(Corridors!I$26)*0.75</f>
        <v>279.58850549999897</v>
      </c>
      <c r="C37" s="227" t="s">
        <v>528</v>
      </c>
      <c r="D37" s="307"/>
      <c r="E37" s="307"/>
      <c r="F37" s="31"/>
      <c r="G37" s="31"/>
    </row>
    <row r="38" spans="1:51" x14ac:dyDescent="0.2">
      <c r="A38" s="111"/>
      <c r="B38" s="270">
        <f>'Rail Delay'!N43*0.75</f>
        <v>103.69061414930553</v>
      </c>
      <c r="C38" s="227" t="s">
        <v>208</v>
      </c>
      <c r="D38" s="38"/>
      <c r="E38" s="38"/>
      <c r="F38" s="31"/>
      <c r="G38" s="31"/>
    </row>
    <row r="39" spans="1:51" x14ac:dyDescent="0.2">
      <c r="A39" s="111"/>
      <c r="B39" s="271">
        <f>SUM(B37:B38)</f>
        <v>383.2791196493045</v>
      </c>
      <c r="C39" s="227" t="s">
        <v>195</v>
      </c>
      <c r="D39" s="38"/>
      <c r="E39" s="38"/>
      <c r="F39" s="31"/>
      <c r="G39" s="31"/>
    </row>
    <row r="40" spans="1:51" ht="15" x14ac:dyDescent="0.25">
      <c r="A40" s="111" t="s">
        <v>73</v>
      </c>
      <c r="B40" s="104">
        <f>B39*365</f>
        <v>139896.87867199615</v>
      </c>
      <c r="C40" s="85"/>
      <c r="D40" s="34"/>
      <c r="E40" s="34"/>
      <c r="F40" s="31"/>
      <c r="G40" s="31"/>
    </row>
    <row r="41" spans="1:51" ht="15" x14ac:dyDescent="0.25">
      <c r="A41" s="69" t="s">
        <v>35</v>
      </c>
      <c r="B41" s="106">
        <f>B23*B33</f>
        <v>3009181.8602346373</v>
      </c>
      <c r="C41" s="86"/>
      <c r="D41" s="39"/>
      <c r="E41" s="39"/>
      <c r="F41" s="31"/>
      <c r="G41" s="31"/>
    </row>
    <row r="42" spans="1:51" ht="15" x14ac:dyDescent="0.25">
      <c r="A42" s="69" t="s">
        <v>36</v>
      </c>
      <c r="B42" s="106">
        <f>B24*B34</f>
        <v>833925.29376376909</v>
      </c>
      <c r="C42" s="86"/>
      <c r="D42" s="39"/>
      <c r="E42" s="39"/>
      <c r="F42" s="31"/>
      <c r="G42" s="31"/>
    </row>
    <row r="43" spans="1:51" ht="15" x14ac:dyDescent="0.25">
      <c r="A43" s="108" t="s">
        <v>17</v>
      </c>
      <c r="B43" s="107">
        <f>SUM(B41:B42)</f>
        <v>3843107.1539984066</v>
      </c>
      <c r="C43" s="87"/>
      <c r="D43" s="40"/>
      <c r="E43" s="40"/>
      <c r="F43" s="31"/>
      <c r="G43" s="31"/>
    </row>
    <row r="44" spans="1:51" x14ac:dyDescent="0.2">
      <c r="A44" s="62"/>
      <c r="B44" s="74"/>
      <c r="C44" s="83"/>
      <c r="D44" s="31"/>
      <c r="E44" s="31"/>
      <c r="F44" s="31"/>
      <c r="G44" s="31"/>
    </row>
    <row r="45" spans="1:51" x14ac:dyDescent="0.2">
      <c r="A45" s="111" t="s">
        <v>352</v>
      </c>
      <c r="B45" s="75"/>
      <c r="C45" s="83"/>
      <c r="D45" s="31"/>
      <c r="E45" s="31"/>
      <c r="F45" s="31"/>
      <c r="G45" s="31"/>
    </row>
    <row r="46" spans="1:51" x14ac:dyDescent="0.2">
      <c r="A46" s="108" t="s">
        <v>6</v>
      </c>
      <c r="B46" s="271">
        <f>(Corridors!I$26)*1.25</f>
        <v>465.98084249999829</v>
      </c>
      <c r="C46" s="227" t="str">
        <f>C37</f>
        <v>Based on Traffic improvements in area network, CMCOG Transportation Demand Model</v>
      </c>
      <c r="D46" s="307"/>
      <c r="E46" s="307"/>
      <c r="F46" s="31"/>
      <c r="G46" s="31"/>
    </row>
    <row r="47" spans="1:51" x14ac:dyDescent="0.2">
      <c r="A47" s="108"/>
      <c r="B47" s="270">
        <f>1.25*'Rail Delay'!N43</f>
        <v>172.81769024884255</v>
      </c>
      <c r="C47" s="227" t="s">
        <v>173</v>
      </c>
      <c r="D47" s="41"/>
      <c r="E47" s="41"/>
      <c r="F47" s="31"/>
      <c r="G47" s="31"/>
    </row>
    <row r="48" spans="1:51" x14ac:dyDescent="0.2">
      <c r="A48" s="108"/>
      <c r="B48" s="271">
        <f>SUM(B46:B47)</f>
        <v>638.7985327488409</v>
      </c>
      <c r="C48" s="227" t="s">
        <v>195</v>
      </c>
      <c r="D48" s="41"/>
      <c r="E48" s="41"/>
      <c r="F48" s="31"/>
      <c r="G48" s="31"/>
    </row>
    <row r="49" spans="1:7" ht="15" x14ac:dyDescent="0.25">
      <c r="A49" s="108" t="s">
        <v>7</v>
      </c>
      <c r="B49" s="104">
        <f>B48*365</f>
        <v>233161.46445332692</v>
      </c>
      <c r="C49" s="85"/>
      <c r="D49" s="34"/>
      <c r="E49" s="34"/>
      <c r="F49" s="31"/>
      <c r="G49" s="31"/>
    </row>
    <row r="50" spans="1:7" ht="15" x14ac:dyDescent="0.25">
      <c r="A50" s="69" t="s">
        <v>35</v>
      </c>
      <c r="B50" s="106">
        <f>B33*B28</f>
        <v>5015303.100391062</v>
      </c>
      <c r="C50" s="86"/>
      <c r="D50" s="39"/>
      <c r="E50" s="39"/>
      <c r="F50" s="31"/>
      <c r="G50" s="31"/>
    </row>
    <row r="51" spans="1:7" ht="15" x14ac:dyDescent="0.25">
      <c r="A51" s="69" t="s">
        <v>37</v>
      </c>
      <c r="B51" s="106">
        <f>B34*B29</f>
        <v>1389875.4896062817</v>
      </c>
      <c r="C51" s="86"/>
      <c r="D51" s="39"/>
      <c r="E51" s="39"/>
      <c r="F51" s="31"/>
      <c r="G51" s="31"/>
    </row>
    <row r="52" spans="1:7" ht="15" x14ac:dyDescent="0.25">
      <c r="A52" s="108" t="s">
        <v>17</v>
      </c>
      <c r="B52" s="107">
        <f>SUM(B50:B51)</f>
        <v>6405178.5899973437</v>
      </c>
      <c r="C52" s="87"/>
      <c r="D52" s="40"/>
      <c r="E52" s="40"/>
      <c r="F52" s="31"/>
      <c r="G52" s="31"/>
    </row>
    <row r="53" spans="1:7" x14ac:dyDescent="0.2">
      <c r="A53" s="69"/>
      <c r="B53" s="74"/>
      <c r="C53" s="86"/>
      <c r="D53" s="39"/>
      <c r="E53" s="39"/>
      <c r="F53" s="31"/>
      <c r="G53" s="31"/>
    </row>
    <row r="54" spans="1:7" ht="18" x14ac:dyDescent="0.25">
      <c r="A54" s="65" t="s">
        <v>20</v>
      </c>
      <c r="B54" s="61"/>
      <c r="C54" s="83"/>
      <c r="D54" s="31"/>
      <c r="E54" s="31"/>
      <c r="F54" s="31"/>
      <c r="G54" s="31"/>
    </row>
    <row r="55" spans="1:7" s="21" customFormat="1" ht="15" x14ac:dyDescent="0.25">
      <c r="A55" s="76"/>
      <c r="B55" s="77"/>
      <c r="C55" s="81"/>
      <c r="D55" s="43"/>
      <c r="E55" s="43"/>
      <c r="F55" s="43"/>
      <c r="G55" s="43"/>
    </row>
    <row r="56" spans="1:7" x14ac:dyDescent="0.2">
      <c r="A56" s="109" t="s">
        <v>21</v>
      </c>
      <c r="B56" s="61"/>
      <c r="C56" s="83"/>
      <c r="D56" s="31"/>
      <c r="E56" s="31"/>
      <c r="F56" s="31"/>
      <c r="G56" s="31"/>
    </row>
    <row r="57" spans="1:7" x14ac:dyDescent="0.2">
      <c r="A57" s="108" t="s">
        <v>215</v>
      </c>
      <c r="B57" s="78"/>
      <c r="C57" s="82"/>
      <c r="D57" s="29"/>
      <c r="E57" s="29"/>
      <c r="F57" s="31"/>
      <c r="G57" s="31"/>
    </row>
    <row r="58" spans="1:7" x14ac:dyDescent="0.2">
      <c r="A58" s="113" t="s">
        <v>39</v>
      </c>
      <c r="B58" s="120"/>
      <c r="C58" s="82"/>
      <c r="D58" s="44"/>
      <c r="E58" s="44"/>
      <c r="F58" s="31"/>
      <c r="G58" s="31"/>
    </row>
    <row r="59" spans="1:7" x14ac:dyDescent="0.2">
      <c r="A59" s="118" t="s">
        <v>40</v>
      </c>
      <c r="B59" s="297">
        <f>'VMT Interpolation'!L17*0.75</f>
        <v>2934.6576544999898</v>
      </c>
      <c r="C59" s="119" t="s">
        <v>409</v>
      </c>
      <c r="D59" s="112"/>
      <c r="E59" s="45"/>
      <c r="F59" s="34">
        <f>'VMT Interpolation'!L17</f>
        <v>3912.8768726666531</v>
      </c>
      <c r="G59" s="31"/>
    </row>
    <row r="60" spans="1:7" x14ac:dyDescent="0.2">
      <c r="A60" s="114"/>
      <c r="B60" s="94"/>
      <c r="C60" s="83"/>
      <c r="D60" s="31"/>
      <c r="E60" s="31"/>
      <c r="F60" s="31"/>
      <c r="G60" s="31"/>
    </row>
    <row r="61" spans="1:7" x14ac:dyDescent="0.2">
      <c r="A61" s="108" t="s">
        <v>216</v>
      </c>
      <c r="B61" s="61"/>
      <c r="C61" s="82"/>
      <c r="D61" s="45"/>
      <c r="E61" s="45"/>
      <c r="F61" s="31"/>
      <c r="G61" s="31"/>
    </row>
    <row r="62" spans="1:7" x14ac:dyDescent="0.2">
      <c r="A62" s="113" t="s">
        <v>39</v>
      </c>
      <c r="B62" s="120"/>
      <c r="C62" s="82"/>
      <c r="D62" s="44"/>
      <c r="E62" s="44"/>
      <c r="F62" s="31"/>
      <c r="G62" s="31"/>
    </row>
    <row r="63" spans="1:7" x14ac:dyDescent="0.2">
      <c r="A63" s="118" t="s">
        <v>40</v>
      </c>
      <c r="B63" s="297">
        <f>'VMT Interpolation'!L17*1.25</f>
        <v>4891.0960908333163</v>
      </c>
      <c r="C63" s="119" t="s">
        <v>410</v>
      </c>
      <c r="D63" s="112"/>
      <c r="E63" s="45"/>
      <c r="F63" s="298">
        <f>F59</f>
        <v>3912.8768726666531</v>
      </c>
      <c r="G63" s="31"/>
    </row>
    <row r="64" spans="1:7" x14ac:dyDescent="0.2">
      <c r="A64" s="79"/>
      <c r="B64" s="94"/>
      <c r="C64" s="83"/>
      <c r="D64" s="31"/>
      <c r="E64" s="31"/>
      <c r="F64" s="31"/>
      <c r="G64" s="31"/>
    </row>
    <row r="65" spans="1:7" x14ac:dyDescent="0.2">
      <c r="A65" s="110" t="s">
        <v>22</v>
      </c>
      <c r="B65" s="117"/>
      <c r="C65" s="83"/>
      <c r="D65" s="31"/>
      <c r="E65" s="31"/>
      <c r="F65" s="31"/>
      <c r="G65" s="31"/>
    </row>
    <row r="66" spans="1:7" ht="14.25" customHeight="1" x14ac:dyDescent="0.2">
      <c r="A66" s="118" t="s">
        <v>41</v>
      </c>
      <c r="B66" s="224">
        <v>0.60499999999999998</v>
      </c>
      <c r="C66" s="221" t="s">
        <v>74</v>
      </c>
      <c r="D66" s="46"/>
      <c r="E66" s="46"/>
      <c r="F66" s="31"/>
      <c r="G66" s="31"/>
    </row>
    <row r="67" spans="1:7" ht="15" x14ac:dyDescent="0.25">
      <c r="A67" s="116"/>
      <c r="B67" s="115">
        <v>1.38</v>
      </c>
      <c r="C67" s="221" t="s">
        <v>75</v>
      </c>
      <c r="D67" s="31"/>
      <c r="E67" s="31"/>
      <c r="F67" s="31"/>
      <c r="G67" s="31"/>
    </row>
    <row r="68" spans="1:7" ht="15" x14ac:dyDescent="0.25">
      <c r="A68" s="110" t="s">
        <v>349</v>
      </c>
      <c r="B68" s="115">
        <v>-405.52725632099902</v>
      </c>
      <c r="C68" s="88"/>
      <c r="D68" s="47"/>
      <c r="E68" s="47"/>
      <c r="F68" s="115">
        <v>405.52725632099856</v>
      </c>
      <c r="G68" s="31"/>
    </row>
    <row r="69" spans="1:7" ht="15" x14ac:dyDescent="0.25">
      <c r="A69" s="110" t="s">
        <v>348</v>
      </c>
      <c r="B69" s="115">
        <v>-675.51576053499798</v>
      </c>
      <c r="C69" s="88"/>
      <c r="D69" s="47"/>
      <c r="E69" s="47"/>
      <c r="F69" s="115">
        <v>675.51576053499753</v>
      </c>
      <c r="G69" s="31"/>
    </row>
    <row r="70" spans="1:7" ht="15" x14ac:dyDescent="0.25">
      <c r="A70" s="127"/>
      <c r="B70" s="128"/>
      <c r="C70" s="129"/>
      <c r="D70" s="47"/>
      <c r="E70" s="47"/>
      <c r="F70" s="31"/>
      <c r="G70" s="31"/>
    </row>
    <row r="71" spans="1:7" ht="18" x14ac:dyDescent="0.25">
      <c r="A71" s="65" t="s">
        <v>76</v>
      </c>
    </row>
    <row r="73" spans="1:7" ht="15" x14ac:dyDescent="0.25">
      <c r="A73" t="s">
        <v>77</v>
      </c>
      <c r="B73" s="125">
        <v>6200000</v>
      </c>
      <c r="C73" s="173" t="s">
        <v>78</v>
      </c>
    </row>
    <row r="74" spans="1:7" ht="15" x14ac:dyDescent="0.25">
      <c r="A74" t="s">
        <v>79</v>
      </c>
      <c r="B74" s="125">
        <v>230000</v>
      </c>
      <c r="C74" s="173" t="s">
        <v>80</v>
      </c>
    </row>
    <row r="75" spans="1:7" ht="15" x14ac:dyDescent="0.25">
      <c r="A75" t="s">
        <v>81</v>
      </c>
      <c r="B75" s="125">
        <v>8900</v>
      </c>
      <c r="C75" s="173" t="s">
        <v>80</v>
      </c>
    </row>
    <row r="76" spans="1:7" hidden="1" x14ac:dyDescent="0.2">
      <c r="A76" t="s">
        <v>169</v>
      </c>
      <c r="B76" s="126">
        <v>0</v>
      </c>
      <c r="C76" t="s">
        <v>82</v>
      </c>
    </row>
    <row r="77" spans="1:7" hidden="1" x14ac:dyDescent="0.2">
      <c r="A77" t="s">
        <v>170</v>
      </c>
      <c r="B77" s="126">
        <v>0</v>
      </c>
      <c r="C77" t="s">
        <v>83</v>
      </c>
    </row>
    <row r="78" spans="1:7" hidden="1" x14ac:dyDescent="0.2">
      <c r="A78" t="s">
        <v>171</v>
      </c>
      <c r="B78" s="126"/>
      <c r="C78" t="s">
        <v>84</v>
      </c>
    </row>
    <row r="79" spans="1:7" hidden="1" x14ac:dyDescent="0.2">
      <c r="A79" t="s">
        <v>169</v>
      </c>
      <c r="B79" s="126"/>
      <c r="C79" t="s">
        <v>85</v>
      </c>
    </row>
    <row r="80" spans="1:7" hidden="1" x14ac:dyDescent="0.2">
      <c r="A80" t="s">
        <v>170</v>
      </c>
      <c r="B80" s="126"/>
      <c r="C80" t="s">
        <v>86</v>
      </c>
    </row>
    <row r="81" spans="1:7" hidden="1" x14ac:dyDescent="0.2">
      <c r="A81" t="s">
        <v>171</v>
      </c>
      <c r="B81" s="126"/>
      <c r="C81" t="s">
        <v>87</v>
      </c>
    </row>
    <row r="82" spans="1:7" ht="15" hidden="1" x14ac:dyDescent="0.25">
      <c r="A82" s="173" t="s">
        <v>172</v>
      </c>
      <c r="B82" s="261">
        <f>0.75*VMT!K$16</f>
        <v>-27840922.499999993</v>
      </c>
      <c r="C82" s="262" t="s">
        <v>131</v>
      </c>
    </row>
    <row r="83" spans="1:7" ht="15" hidden="1" x14ac:dyDescent="0.25">
      <c r="A83" s="173" t="s">
        <v>172</v>
      </c>
      <c r="B83" s="261">
        <f>1.25*VMT!K$16</f>
        <v>-46401537.499999993</v>
      </c>
      <c r="C83" s="262" t="s">
        <v>132</v>
      </c>
    </row>
    <row r="84" spans="1:7" hidden="1" x14ac:dyDescent="0.2">
      <c r="A84" t="s">
        <v>88</v>
      </c>
      <c r="B84" s="126">
        <v>0</v>
      </c>
      <c r="C84" t="s">
        <v>89</v>
      </c>
    </row>
    <row r="85" spans="1:7" hidden="1" x14ac:dyDescent="0.2">
      <c r="A85" t="s">
        <v>90</v>
      </c>
      <c r="B85" s="126">
        <v>0</v>
      </c>
      <c r="C85" t="s">
        <v>91</v>
      </c>
    </row>
    <row r="86" spans="1:7" hidden="1" x14ac:dyDescent="0.2">
      <c r="A86" t="s">
        <v>92</v>
      </c>
      <c r="B86" s="126"/>
      <c r="C86" t="s">
        <v>89</v>
      </c>
    </row>
    <row r="87" spans="1:7" hidden="1" x14ac:dyDescent="0.2">
      <c r="A87" t="s">
        <v>93</v>
      </c>
      <c r="B87" s="126"/>
      <c r="C87" t="s">
        <v>91</v>
      </c>
    </row>
    <row r="88" spans="1:7" hidden="1" x14ac:dyDescent="0.2">
      <c r="A88" t="s">
        <v>94</v>
      </c>
      <c r="B88" s="126"/>
      <c r="C88" t="s">
        <v>89</v>
      </c>
    </row>
    <row r="89" spans="1:7" hidden="1" x14ac:dyDescent="0.2">
      <c r="A89" t="s">
        <v>95</v>
      </c>
      <c r="B89" s="126"/>
      <c r="C89" t="s">
        <v>91</v>
      </c>
    </row>
    <row r="90" spans="1:7" ht="15" x14ac:dyDescent="0.25">
      <c r="A90" s="121" t="s">
        <v>430</v>
      </c>
      <c r="B90" s="125">
        <f>B74*'Crash Data'!K30</f>
        <v>436418.40277777781</v>
      </c>
      <c r="C90" s="83"/>
    </row>
    <row r="91" spans="1:7" ht="15" x14ac:dyDescent="0.25">
      <c r="A91" s="121" t="s">
        <v>529</v>
      </c>
      <c r="B91" s="125">
        <f>B75*'Crash Data'!K31</f>
        <v>39806.237545289849</v>
      </c>
      <c r="C91" s="83"/>
    </row>
    <row r="92" spans="1:7" ht="15" x14ac:dyDescent="0.25">
      <c r="A92" s="62" t="s">
        <v>9</v>
      </c>
      <c r="B92" s="351">
        <f>SUM(B90:B91)</f>
        <v>476224.64032306767</v>
      </c>
      <c r="C92" s="83"/>
      <c r="D92" s="31"/>
      <c r="E92" s="31"/>
      <c r="F92" s="31"/>
      <c r="G92" s="31"/>
    </row>
    <row r="93" spans="1:7" ht="15" x14ac:dyDescent="0.25">
      <c r="A93" s="60"/>
      <c r="B93" s="352"/>
      <c r="C93" s="83"/>
      <c r="D93" s="31"/>
      <c r="E93" s="31"/>
      <c r="F93" s="31"/>
      <c r="G93" s="31"/>
    </row>
    <row r="94" spans="1:7" ht="18" x14ac:dyDescent="0.25">
      <c r="A94" s="65" t="s">
        <v>50</v>
      </c>
      <c r="B94" s="61"/>
      <c r="C94" s="203" t="s">
        <v>62</v>
      </c>
      <c r="D94" s="31"/>
      <c r="E94" s="31"/>
      <c r="F94" s="31"/>
      <c r="G94" s="31"/>
    </row>
    <row r="95" spans="1:7" x14ac:dyDescent="0.2">
      <c r="A95" s="60"/>
      <c r="B95" s="61"/>
      <c r="C95" s="83"/>
      <c r="D95" s="31"/>
      <c r="E95" s="31"/>
      <c r="F95" s="31"/>
      <c r="G95" s="31"/>
    </row>
    <row r="96" spans="1:7" x14ac:dyDescent="0.2">
      <c r="A96" s="60" t="s">
        <v>51</v>
      </c>
      <c r="B96" s="208">
        <f>'Project Budget'!D39/166565</f>
        <v>390.91045537778047</v>
      </c>
      <c r="C96" s="203" t="s">
        <v>473</v>
      </c>
      <c r="D96" s="31"/>
      <c r="E96" s="31"/>
      <c r="F96" s="31"/>
      <c r="G96" s="31"/>
    </row>
    <row r="97" spans="1:8" x14ac:dyDescent="0.2">
      <c r="A97" s="60" t="s">
        <v>52</v>
      </c>
      <c r="B97" s="61"/>
      <c r="C97" s="83"/>
      <c r="D97" s="31"/>
      <c r="E97" s="31"/>
      <c r="F97" s="31"/>
      <c r="G97" s="31"/>
    </row>
    <row r="98" spans="1:8" x14ac:dyDescent="0.2">
      <c r="A98" s="60" t="s">
        <v>56</v>
      </c>
      <c r="B98" s="209" t="e">
        <f>#REF!</f>
        <v>#REF!</v>
      </c>
      <c r="C98" s="203" t="s">
        <v>211</v>
      </c>
      <c r="D98" s="31"/>
      <c r="E98" s="31"/>
      <c r="F98" s="31"/>
      <c r="G98" s="31"/>
    </row>
    <row r="99" spans="1:8" x14ac:dyDescent="0.2">
      <c r="A99" s="60" t="s">
        <v>53</v>
      </c>
      <c r="B99" s="212">
        <f>0.138+0.07</f>
        <v>0.20800000000000002</v>
      </c>
      <c r="C99" s="203" t="s">
        <v>158</v>
      </c>
      <c r="D99" s="31"/>
      <c r="E99" s="31"/>
      <c r="F99" s="31"/>
      <c r="H99" s="211" t="s">
        <v>157</v>
      </c>
    </row>
    <row r="100" spans="1:8" x14ac:dyDescent="0.2">
      <c r="A100" s="60"/>
      <c r="B100" s="61"/>
      <c r="C100" s="83"/>
      <c r="D100" s="210"/>
      <c r="E100" s="31"/>
      <c r="F100" s="31"/>
      <c r="G100" s="31"/>
    </row>
    <row r="101" spans="1:8" x14ac:dyDescent="0.2">
      <c r="A101" s="114" t="s">
        <v>54</v>
      </c>
      <c r="B101" s="256">
        <v>3000</v>
      </c>
      <c r="C101" s="203" t="s">
        <v>207</v>
      </c>
      <c r="D101" s="210"/>
      <c r="E101" s="260">
        <f>B101/B103</f>
        <v>0.28348688873139616</v>
      </c>
      <c r="F101" s="31"/>
      <c r="G101" s="31"/>
    </row>
    <row r="102" spans="1:8" x14ac:dyDescent="0.2">
      <c r="A102" s="60" t="s">
        <v>54</v>
      </c>
      <c r="B102" s="256">
        <f>'Acres Developed'!D8</f>
        <v>7582.5</v>
      </c>
      <c r="C102" s="203" t="s">
        <v>57</v>
      </c>
      <c r="D102" s="31"/>
      <c r="E102" s="260">
        <f>B102/B103</f>
        <v>0.71651311126860384</v>
      </c>
      <c r="F102" s="31"/>
      <c r="G102" s="31"/>
    </row>
    <row r="103" spans="1:8" x14ac:dyDescent="0.2">
      <c r="A103" s="60" t="s">
        <v>55</v>
      </c>
      <c r="B103" s="256">
        <f>SUM(B101:B102)</f>
        <v>10582.5</v>
      </c>
      <c r="C103" s="203" t="s">
        <v>218</v>
      </c>
      <c r="D103" s="31"/>
      <c r="E103" s="31"/>
      <c r="F103" s="31"/>
      <c r="G103" s="31"/>
    </row>
    <row r="104" spans="1:8" x14ac:dyDescent="0.2">
      <c r="A104" s="114" t="s">
        <v>350</v>
      </c>
      <c r="B104" s="220" t="e">
        <f>(#REF!*E102)+((17.5*2080)*E101)</f>
        <v>#REF!</v>
      </c>
      <c r="C104" s="203" t="s">
        <v>167</v>
      </c>
      <c r="D104" s="31"/>
      <c r="E104" s="31"/>
      <c r="F104" s="31"/>
      <c r="G104" s="31"/>
    </row>
    <row r="105" spans="1:8" x14ac:dyDescent="0.2">
      <c r="A105" s="114" t="s">
        <v>53</v>
      </c>
      <c r="B105" s="212">
        <f>B99</f>
        <v>0.20800000000000002</v>
      </c>
      <c r="C105" s="203" t="str">
        <f>C99</f>
        <v>Based on IRS Data on Average Federal Percentage (13.8%) Paid plus SC State Tax Rate (7%) Data</v>
      </c>
      <c r="D105" s="31"/>
      <c r="E105" s="31"/>
      <c r="F105" s="31"/>
    </row>
    <row r="106" spans="1:8" x14ac:dyDescent="0.2">
      <c r="A106" s="60"/>
      <c r="B106" s="61"/>
      <c r="C106" s="83"/>
      <c r="D106" s="31"/>
      <c r="E106" s="31"/>
      <c r="F106" s="31"/>
      <c r="G106" s="31"/>
    </row>
    <row r="107" spans="1:8" ht="18" x14ac:dyDescent="0.25">
      <c r="A107" s="65" t="s">
        <v>58</v>
      </c>
      <c r="B107" s="61"/>
      <c r="C107" s="203" t="s">
        <v>533</v>
      </c>
      <c r="D107" s="31"/>
      <c r="E107" s="31"/>
      <c r="F107" s="31"/>
      <c r="G107" s="31"/>
    </row>
    <row r="108" spans="1:8" x14ac:dyDescent="0.2">
      <c r="A108" s="60"/>
      <c r="B108" s="61"/>
      <c r="C108" s="83"/>
      <c r="D108" s="31"/>
      <c r="E108" s="31"/>
      <c r="F108" s="31"/>
      <c r="G108" s="31"/>
    </row>
    <row r="109" spans="1:8" s="124" customFormat="1" x14ac:dyDescent="0.2">
      <c r="A109" s="383"/>
      <c r="B109" s="384"/>
      <c r="C109" s="385"/>
      <c r="D109" s="386"/>
      <c r="E109" s="386"/>
      <c r="F109" s="386"/>
      <c r="G109" s="386"/>
    </row>
    <row r="110" spans="1:8" s="124" customFormat="1" x14ac:dyDescent="0.2">
      <c r="A110" s="383"/>
      <c r="B110" s="384"/>
      <c r="C110" s="385"/>
      <c r="D110" s="386"/>
      <c r="E110" s="386"/>
      <c r="F110" s="386"/>
      <c r="G110" s="386"/>
    </row>
    <row r="111" spans="1:8" s="124" customFormat="1" x14ac:dyDescent="0.2">
      <c r="B111" s="387"/>
      <c r="C111" s="385"/>
      <c r="D111" s="386"/>
      <c r="E111" s="386"/>
      <c r="F111" s="386"/>
      <c r="G111" s="386"/>
    </row>
    <row r="112" spans="1:8" s="124" customFormat="1" x14ac:dyDescent="0.2">
      <c r="A112" s="384"/>
      <c r="B112" s="384"/>
      <c r="C112" s="385"/>
      <c r="D112" s="386"/>
      <c r="E112" s="386"/>
      <c r="F112" s="386"/>
      <c r="G112" s="386"/>
    </row>
    <row r="113" spans="1:10" s="124" customFormat="1" x14ac:dyDescent="0.2">
      <c r="A113" s="384"/>
      <c r="B113" s="384"/>
      <c r="C113" s="385"/>
      <c r="D113" s="386"/>
      <c r="E113" s="386"/>
      <c r="F113" s="386"/>
      <c r="G113" s="386"/>
    </row>
    <row r="114" spans="1:10" s="124" customFormat="1" x14ac:dyDescent="0.2">
      <c r="A114" s="383"/>
      <c r="B114" s="384"/>
      <c r="C114" s="385"/>
      <c r="D114" s="386"/>
      <c r="E114" s="386"/>
      <c r="F114" s="386"/>
      <c r="G114" s="386"/>
    </row>
    <row r="115" spans="1:10" s="124" customFormat="1" x14ac:dyDescent="0.2">
      <c r="A115" s="388" t="s">
        <v>60</v>
      </c>
      <c r="B115" s="389">
        <f>SUM(B112:B113)</f>
        <v>0</v>
      </c>
      <c r="C115" s="385"/>
      <c r="D115" s="386"/>
      <c r="E115" s="386"/>
      <c r="F115" s="386"/>
      <c r="G115" s="386"/>
    </row>
    <row r="116" spans="1:10" s="124" customFormat="1" x14ac:dyDescent="0.2">
      <c r="A116" s="383" t="s">
        <v>61</v>
      </c>
      <c r="B116" s="384">
        <f>0.1081+0.003+0.0111+0.0018+0.0031+0.2961</f>
        <v>0.42319999999999997</v>
      </c>
      <c r="C116" s="390" t="s">
        <v>212</v>
      </c>
      <c r="D116" s="386"/>
      <c r="E116" s="386"/>
      <c r="F116" s="386"/>
      <c r="G116" s="386"/>
    </row>
    <row r="117" spans="1:10" x14ac:dyDescent="0.2">
      <c r="A117" s="60"/>
      <c r="B117" s="61"/>
      <c r="C117" s="83"/>
      <c r="D117" s="31"/>
      <c r="E117" s="31"/>
      <c r="F117" s="31"/>
      <c r="G117" s="31"/>
    </row>
    <row r="118" spans="1:10" ht="18" x14ac:dyDescent="0.25">
      <c r="A118" s="65" t="s">
        <v>64</v>
      </c>
      <c r="B118" s="61"/>
      <c r="C118" s="83"/>
      <c r="D118" s="31"/>
      <c r="E118" s="31"/>
      <c r="F118" s="31"/>
      <c r="G118" s="31"/>
    </row>
    <row r="119" spans="1:10" x14ac:dyDescent="0.2">
      <c r="A119" s="60"/>
      <c r="B119" s="314">
        <f>B38</f>
        <v>103.69061414930553</v>
      </c>
      <c r="C119" s="203" t="s">
        <v>208</v>
      </c>
      <c r="D119" s="31"/>
      <c r="E119" s="31"/>
      <c r="F119" s="31"/>
      <c r="G119" s="31"/>
    </row>
    <row r="120" spans="1:10" x14ac:dyDescent="0.2">
      <c r="A120" s="60"/>
      <c r="B120" s="314">
        <f>B119*Carbon!B36</f>
        <v>94007.984600043375</v>
      </c>
      <c r="C120" s="203" t="s">
        <v>385</v>
      </c>
      <c r="D120" s="31"/>
      <c r="E120" s="31"/>
      <c r="F120" s="31"/>
      <c r="G120" s="31"/>
    </row>
    <row r="121" spans="1:10" x14ac:dyDescent="0.2">
      <c r="A121" s="60"/>
      <c r="B121" s="314">
        <f>(B120)/1000000</f>
        <v>9.4007984600043379E-2</v>
      </c>
      <c r="C121" s="316" t="s">
        <v>376</v>
      </c>
      <c r="D121" s="31"/>
      <c r="E121" s="31"/>
      <c r="F121" s="31"/>
      <c r="G121" s="31"/>
    </row>
    <row r="122" spans="1:10" x14ac:dyDescent="0.2">
      <c r="A122" s="60" t="s">
        <v>65</v>
      </c>
      <c r="B122" s="314">
        <f>Carbon!B19+B121</f>
        <v>-1.6159920153999565</v>
      </c>
      <c r="C122" s="203" t="s">
        <v>66</v>
      </c>
      <c r="D122" s="31"/>
      <c r="E122" s="31"/>
      <c r="F122" s="31"/>
      <c r="G122" s="31"/>
    </row>
    <row r="123" spans="1:10" x14ac:dyDescent="0.2">
      <c r="A123" s="60" t="s">
        <v>69</v>
      </c>
      <c r="B123" s="256">
        <v>13</v>
      </c>
      <c r="C123" s="315" t="s">
        <v>357</v>
      </c>
      <c r="D123" s="31"/>
      <c r="E123" s="31"/>
      <c r="F123" s="31"/>
      <c r="G123" s="31"/>
    </row>
    <row r="124" spans="1:10" x14ac:dyDescent="0.2">
      <c r="A124" s="60"/>
      <c r="B124" s="61"/>
      <c r="C124" s="83"/>
      <c r="D124" s="31"/>
      <c r="E124" s="31"/>
      <c r="F124" s="31"/>
      <c r="G124" s="31"/>
    </row>
    <row r="125" spans="1:10" ht="18" x14ac:dyDescent="0.25">
      <c r="A125" s="65" t="s">
        <v>23</v>
      </c>
      <c r="B125" s="61"/>
      <c r="C125" s="83"/>
      <c r="D125" s="31"/>
      <c r="E125" s="31"/>
      <c r="F125" s="31"/>
      <c r="G125" s="31"/>
    </row>
    <row r="126" spans="1:10" x14ac:dyDescent="0.2">
      <c r="A126" s="60"/>
      <c r="B126" s="61"/>
      <c r="C126" s="83"/>
      <c r="D126" s="31"/>
      <c r="E126" s="31"/>
      <c r="F126" s="31"/>
      <c r="G126" s="31"/>
    </row>
    <row r="127" spans="1:10" x14ac:dyDescent="0.2">
      <c r="A127" s="67" t="s">
        <v>21</v>
      </c>
      <c r="B127" s="61"/>
      <c r="C127" s="83"/>
      <c r="D127" s="31"/>
      <c r="E127" s="31" t="s">
        <v>434</v>
      </c>
      <c r="F127" s="31"/>
      <c r="G127" s="31"/>
      <c r="J127" t="s">
        <v>435</v>
      </c>
    </row>
    <row r="128" spans="1:10" x14ac:dyDescent="0.2">
      <c r="A128" s="72" t="s">
        <v>25</v>
      </c>
      <c r="B128" s="225">
        <f>'Project Costs'!D9</f>
        <v>6689000</v>
      </c>
      <c r="C128" s="92" t="str">
        <f>D8</f>
        <v>Based on OKDOT Information</v>
      </c>
      <c r="D128" s="48"/>
      <c r="E128" s="225">
        <f>B128/J128</f>
        <v>50720.818014705881</v>
      </c>
      <c r="F128" s="34">
        <f>(B6*5280)*136</f>
        <v>5744640</v>
      </c>
      <c r="G128" s="31" t="s">
        <v>433</v>
      </c>
      <c r="I128">
        <v>43560</v>
      </c>
      <c r="J128" s="295">
        <f>F128/I128</f>
        <v>131.87878787878788</v>
      </c>
    </row>
    <row r="129" spans="1:7" x14ac:dyDescent="0.2">
      <c r="A129" s="72" t="s">
        <v>26</v>
      </c>
      <c r="B129" s="381">
        <f>8000000*3</f>
        <v>24000000</v>
      </c>
      <c r="C129" s="88"/>
      <c r="D129" s="49"/>
      <c r="E129" s="263"/>
      <c r="F129" s="31"/>
      <c r="G129" s="31"/>
    </row>
    <row r="130" spans="1:7" x14ac:dyDescent="0.2">
      <c r="A130" s="72" t="s">
        <v>27</v>
      </c>
      <c r="B130" s="222">
        <f>'Project Budget'!D39-Input!B129</f>
        <v>41112000</v>
      </c>
      <c r="C130" s="92"/>
      <c r="D130" s="48"/>
      <c r="E130" s="263"/>
      <c r="F130" s="31"/>
      <c r="G130" s="31"/>
    </row>
    <row r="131" spans="1:7" x14ac:dyDescent="0.2">
      <c r="A131" s="72" t="s">
        <v>32</v>
      </c>
      <c r="B131" s="80"/>
      <c r="C131" s="89"/>
      <c r="D131" s="50"/>
      <c r="E131" s="263"/>
      <c r="F131" s="31"/>
      <c r="G131" s="31"/>
    </row>
    <row r="132" spans="1:7" x14ac:dyDescent="0.2">
      <c r="A132" s="72" t="s">
        <v>42</v>
      </c>
      <c r="B132" s="61"/>
      <c r="C132" s="83"/>
      <c r="D132" s="31"/>
      <c r="E132" s="31"/>
      <c r="F132" s="31"/>
      <c r="G132" s="31"/>
    </row>
    <row r="133" spans="1:7" x14ac:dyDescent="0.2">
      <c r="A133" s="72" t="s">
        <v>43</v>
      </c>
      <c r="B133" s="382">
        <v>1</v>
      </c>
      <c r="C133" s="90"/>
      <c r="D133" s="42"/>
      <c r="E133" s="42"/>
      <c r="F133" s="31"/>
      <c r="G133" s="31"/>
    </row>
    <row r="134" spans="1:7" x14ac:dyDescent="0.2">
      <c r="A134" s="72" t="s">
        <v>44</v>
      </c>
      <c r="B134" s="382">
        <v>0.4</v>
      </c>
      <c r="C134" s="90"/>
      <c r="D134" s="42"/>
      <c r="E134" s="42"/>
      <c r="F134" s="31"/>
      <c r="G134" s="31"/>
    </row>
    <row r="135" spans="1:7" x14ac:dyDescent="0.2">
      <c r="A135" s="72" t="s">
        <v>45</v>
      </c>
      <c r="B135" s="382">
        <v>0.15</v>
      </c>
      <c r="C135" s="90"/>
      <c r="D135" s="42"/>
      <c r="E135" s="42"/>
      <c r="F135" s="31"/>
      <c r="G135" s="31"/>
    </row>
    <row r="136" spans="1:7" x14ac:dyDescent="0.2">
      <c r="A136" s="60"/>
      <c r="B136" s="61"/>
      <c r="C136" s="83"/>
      <c r="D136" s="31"/>
      <c r="E136" s="31"/>
      <c r="F136" s="31"/>
      <c r="G136" s="31"/>
    </row>
    <row r="137" spans="1:7" x14ac:dyDescent="0.2">
      <c r="A137" s="72"/>
      <c r="B137" s="61"/>
      <c r="C137" s="83"/>
      <c r="D137" s="31"/>
      <c r="E137" s="31"/>
      <c r="F137" s="31"/>
      <c r="G137" s="31"/>
    </row>
    <row r="138" spans="1:7" x14ac:dyDescent="0.2">
      <c r="A138" s="98" t="s">
        <v>23</v>
      </c>
      <c r="B138" s="223">
        <f>B128+(B129*0.5)+(B130*0.25)</f>
        <v>28967000</v>
      </c>
      <c r="C138" s="91"/>
      <c r="D138" s="51"/>
      <c r="E138" s="51"/>
      <c r="F138" s="31"/>
      <c r="G138" s="31"/>
    </row>
    <row r="139" spans="1:7" x14ac:dyDescent="0.2">
      <c r="C139" s="31"/>
      <c r="D139" s="31"/>
      <c r="E139" s="31"/>
      <c r="F139" s="31"/>
      <c r="G139" s="31"/>
    </row>
    <row r="140" spans="1:7" x14ac:dyDescent="0.2">
      <c r="C140" s="31"/>
      <c r="D140" s="31"/>
      <c r="E140" s="31"/>
      <c r="F140" s="31"/>
      <c r="G140" s="31"/>
    </row>
    <row r="141" spans="1:7" x14ac:dyDescent="0.2">
      <c r="C141" s="31"/>
      <c r="D141" s="31"/>
      <c r="E141" s="31"/>
      <c r="F141" s="31"/>
      <c r="G141" s="31"/>
    </row>
    <row r="142" spans="1:7" x14ac:dyDescent="0.2">
      <c r="C142" s="31"/>
      <c r="D142" s="31"/>
      <c r="E142" s="31"/>
      <c r="F142" s="31"/>
      <c r="G142" s="31"/>
    </row>
    <row r="143" spans="1:7" x14ac:dyDescent="0.2">
      <c r="C143" s="31"/>
      <c r="D143" s="31"/>
      <c r="E143" s="31"/>
      <c r="F143" s="31"/>
      <c r="G143" s="31"/>
    </row>
    <row r="144" spans="1:7" x14ac:dyDescent="0.2">
      <c r="C144" s="31"/>
      <c r="D144" s="31"/>
      <c r="E144" s="31"/>
      <c r="F144" s="31"/>
      <c r="G144" s="31"/>
    </row>
    <row r="145" spans="3:7" x14ac:dyDescent="0.2">
      <c r="C145" s="31"/>
      <c r="D145" s="31"/>
      <c r="E145" s="31"/>
      <c r="F145" s="31"/>
      <c r="G145" s="31"/>
    </row>
    <row r="146" spans="3:7" x14ac:dyDescent="0.2">
      <c r="C146" s="31"/>
      <c r="D146" s="31"/>
      <c r="E146" s="31"/>
      <c r="F146" s="31"/>
      <c r="G146" s="31"/>
    </row>
    <row r="147" spans="3:7" x14ac:dyDescent="0.2">
      <c r="C147" s="31"/>
      <c r="D147" s="31"/>
      <c r="E147" s="31"/>
      <c r="F147" s="31"/>
      <c r="G147" s="31"/>
    </row>
    <row r="148" spans="3:7" x14ac:dyDescent="0.2">
      <c r="C148" s="31"/>
      <c r="D148" s="31"/>
      <c r="E148" s="31"/>
      <c r="F148" s="31"/>
      <c r="G148" s="31"/>
    </row>
  </sheetData>
  <mergeCells count="1">
    <mergeCell ref="A3:B3"/>
  </mergeCells>
  <phoneticPr fontId="0" type="noConversion"/>
  <hyperlinks>
    <hyperlink ref="H99" r:id="rId1"/>
    <hyperlink ref="C123" r:id="rId2"/>
  </hyperlinks>
  <pageMargins left="0.5" right="0.25" top="1" bottom="1" header="0.5" footer="0.5"/>
  <pageSetup paperSize="3" scale="58" orientation="portrait" cellComments="asDisplayed" r:id="rId3"/>
  <headerFooter alignWithMargins="0">
    <oddFooter>&amp;R&amp;F/&amp;A
&amp;D</oddFooter>
  </headerFooter>
  <rowBreaks count="3" manualBreakCount="3">
    <brk id="35" max="2" man="1"/>
    <brk id="53" max="2" man="1"/>
    <brk id="124" max="2" man="1"/>
  </rowBreaks>
  <legacy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8"/>
  <sheetViews>
    <sheetView workbookViewId="0">
      <selection activeCell="E5" sqref="E5"/>
    </sheetView>
  </sheetViews>
  <sheetFormatPr defaultRowHeight="12.75" x14ac:dyDescent="0.2"/>
  <cols>
    <col min="1" max="1" width="11" customWidth="1"/>
    <col min="2" max="2" width="29.28515625" customWidth="1"/>
    <col min="3" max="3" width="12.42578125" bestFit="1" customWidth="1"/>
    <col min="4" max="4" width="10.28515625" bestFit="1" customWidth="1"/>
    <col min="5" max="5" width="7.7109375" bestFit="1" customWidth="1"/>
    <col min="6" max="6" width="9.5703125" bestFit="1" customWidth="1"/>
    <col min="7" max="7" width="6.85546875" bestFit="1" customWidth="1"/>
    <col min="8" max="8" width="12" customWidth="1"/>
    <col min="9" max="16" width="13.7109375" customWidth="1"/>
    <col min="17" max="17" width="13" customWidth="1"/>
    <col min="18" max="19" width="11.42578125" customWidth="1"/>
    <col min="20" max="20" width="9.5703125" bestFit="1" customWidth="1"/>
    <col min="21" max="21" width="12" customWidth="1"/>
    <col min="22" max="22" width="10.42578125" bestFit="1" customWidth="1"/>
  </cols>
  <sheetData>
    <row r="1" spans="1:7" ht="17.25" x14ac:dyDescent="0.3">
      <c r="A1" s="274" t="s">
        <v>226</v>
      </c>
    </row>
    <row r="2" spans="1:7" ht="25.5" x14ac:dyDescent="0.2">
      <c r="A2" s="275" t="s">
        <v>227</v>
      </c>
      <c r="B2" s="275" t="s">
        <v>228</v>
      </c>
      <c r="C2" s="276" t="s">
        <v>229</v>
      </c>
      <c r="D2" s="276" t="s">
        <v>230</v>
      </c>
      <c r="E2" s="276" t="s">
        <v>231</v>
      </c>
      <c r="F2" s="276" t="s">
        <v>232</v>
      </c>
      <c r="G2" s="276" t="s">
        <v>233</v>
      </c>
    </row>
    <row r="3" spans="1:7" x14ac:dyDescent="0.2">
      <c r="A3" s="277" t="s">
        <v>234</v>
      </c>
      <c r="B3" s="277" t="s">
        <v>235</v>
      </c>
      <c r="C3" s="278">
        <v>34543.133447</v>
      </c>
      <c r="D3" s="278">
        <v>304338.457521</v>
      </c>
      <c r="E3" s="278">
        <v>4854.6180270000004</v>
      </c>
      <c r="F3" s="279">
        <f>D3/E3</f>
        <v>62.69050537619156</v>
      </c>
      <c r="G3" s="280">
        <v>0.54830400000000001</v>
      </c>
    </row>
    <row r="4" spans="1:7" x14ac:dyDescent="0.2">
      <c r="A4" s="277" t="s">
        <v>236</v>
      </c>
      <c r="B4" s="277" t="s">
        <v>237</v>
      </c>
      <c r="C4" s="278">
        <v>48569.666717</v>
      </c>
      <c r="D4" s="278">
        <v>142977.114225</v>
      </c>
      <c r="E4" s="278">
        <v>3911.4851560000002</v>
      </c>
      <c r="F4" s="279">
        <f t="shared" ref="F4:F12" si="0">D4/E4</f>
        <v>36.553152708679228</v>
      </c>
      <c r="G4" s="280">
        <v>0.68677900000000003</v>
      </c>
    </row>
    <row r="5" spans="1:7" x14ac:dyDescent="0.2">
      <c r="A5" s="277" t="s">
        <v>238</v>
      </c>
      <c r="B5" s="277" t="s">
        <v>239</v>
      </c>
      <c r="C5" s="300">
        <v>51739.782329000001</v>
      </c>
      <c r="D5" s="278">
        <v>193894.943302</v>
      </c>
      <c r="E5" s="278">
        <v>4354.1367890000001</v>
      </c>
      <c r="F5" s="279">
        <f t="shared" si="0"/>
        <v>44.531201636072439</v>
      </c>
      <c r="G5" s="280">
        <v>0.79089200000000004</v>
      </c>
    </row>
    <row r="6" spans="1:7" x14ac:dyDescent="0.2">
      <c r="A6" s="277" t="s">
        <v>240</v>
      </c>
      <c r="B6" s="277" t="s">
        <v>241</v>
      </c>
      <c r="C6" s="300">
        <v>43130.764528</v>
      </c>
      <c r="D6" s="278">
        <v>158396.28598799999</v>
      </c>
      <c r="E6" s="278">
        <v>2983.2014800000002</v>
      </c>
      <c r="F6" s="279">
        <f t="shared" si="0"/>
        <v>53.096073815302603</v>
      </c>
      <c r="G6" s="280">
        <v>0.82943800000000001</v>
      </c>
    </row>
    <row r="7" spans="1:7" x14ac:dyDescent="0.2">
      <c r="A7" s="277" t="s">
        <v>242</v>
      </c>
      <c r="B7" s="277" t="s">
        <v>243</v>
      </c>
      <c r="C7" s="278">
        <v>10191.20909</v>
      </c>
      <c r="D7" s="278">
        <v>36573.947702999998</v>
      </c>
      <c r="E7" s="278">
        <v>850.42837799999995</v>
      </c>
      <c r="F7" s="279">
        <f t="shared" si="0"/>
        <v>43.006499605543503</v>
      </c>
      <c r="G7" s="280">
        <v>0.37696800000000003</v>
      </c>
    </row>
    <row r="8" spans="1:7" x14ac:dyDescent="0.2">
      <c r="A8" s="277" t="s">
        <v>244</v>
      </c>
      <c r="B8" s="277" t="s">
        <v>245</v>
      </c>
      <c r="C8" s="278">
        <v>19705.504937000002</v>
      </c>
      <c r="D8" s="278">
        <v>32647.670482000001</v>
      </c>
      <c r="E8" s="278">
        <v>744.04862100000003</v>
      </c>
      <c r="F8" s="279">
        <f t="shared" si="0"/>
        <v>43.878410040087957</v>
      </c>
      <c r="G8" s="280">
        <v>0.49875399999999998</v>
      </c>
    </row>
    <row r="9" spans="1:7" x14ac:dyDescent="0.2">
      <c r="A9" s="277" t="s">
        <v>246</v>
      </c>
      <c r="B9" s="277" t="s">
        <v>247</v>
      </c>
      <c r="C9" s="278">
        <v>3422.985936</v>
      </c>
      <c r="D9" s="278">
        <v>7965.4390839999996</v>
      </c>
      <c r="E9" s="278">
        <v>178.680589</v>
      </c>
      <c r="F9" s="279">
        <f t="shared" si="0"/>
        <v>44.579207672076791</v>
      </c>
      <c r="G9" s="280">
        <v>7.1312E-2</v>
      </c>
    </row>
    <row r="10" spans="1:7" x14ac:dyDescent="0.2">
      <c r="A10" s="277" t="s">
        <v>248</v>
      </c>
      <c r="B10" s="277" t="s">
        <v>249</v>
      </c>
      <c r="C10" s="278">
        <v>7953.4397959999997</v>
      </c>
      <c r="D10" s="278">
        <v>37876.944898000002</v>
      </c>
      <c r="E10" s="278">
        <v>690.47078899999997</v>
      </c>
      <c r="F10" s="279">
        <f t="shared" si="0"/>
        <v>54.856694159150017</v>
      </c>
      <c r="G10" s="280">
        <v>0.39767200000000003</v>
      </c>
    </row>
    <row r="11" spans="1:7" x14ac:dyDescent="0.2">
      <c r="A11" s="277" t="s">
        <v>250</v>
      </c>
      <c r="B11" s="277" t="s">
        <v>251</v>
      </c>
      <c r="C11" s="278">
        <v>18690.363361</v>
      </c>
      <c r="D11" s="278">
        <v>49009.174937999996</v>
      </c>
      <c r="E11" s="278">
        <v>1104.9231749999999</v>
      </c>
      <c r="F11" s="279">
        <f t="shared" si="0"/>
        <v>44.355278309734068</v>
      </c>
      <c r="G11" s="280">
        <v>0.36055500000000001</v>
      </c>
    </row>
    <row r="12" spans="1:7" x14ac:dyDescent="0.2">
      <c r="A12" s="277" t="s">
        <v>252</v>
      </c>
      <c r="B12" s="277" t="s">
        <v>253</v>
      </c>
      <c r="C12" s="278">
        <v>10619.426258</v>
      </c>
      <c r="D12" s="278">
        <v>81692.571481999999</v>
      </c>
      <c r="E12" s="278">
        <v>1563.198294</v>
      </c>
      <c r="F12" s="279">
        <f t="shared" si="0"/>
        <v>52.259890377029798</v>
      </c>
      <c r="G12" s="280">
        <v>0.39512199999999997</v>
      </c>
    </row>
    <row r="13" spans="1:7" x14ac:dyDescent="0.2">
      <c r="C13" s="146">
        <f>SUM(C3:C12)</f>
        <v>248566.27639899997</v>
      </c>
      <c r="D13" s="146">
        <f>SUM(D3:D12)</f>
        <v>1045372.549623</v>
      </c>
      <c r="E13" s="146">
        <f>SUM(E3:E12)</f>
        <v>21235.191298000002</v>
      </c>
    </row>
    <row r="14" spans="1:7" ht="17.25" x14ac:dyDescent="0.3">
      <c r="A14" s="274" t="s">
        <v>254</v>
      </c>
    </row>
    <row r="15" spans="1:7" ht="25.5" x14ac:dyDescent="0.2">
      <c r="A15" s="275" t="s">
        <v>227</v>
      </c>
      <c r="B15" s="275" t="s">
        <v>228</v>
      </c>
      <c r="C15" s="276" t="s">
        <v>229</v>
      </c>
      <c r="D15" s="276" t="s">
        <v>230</v>
      </c>
      <c r="E15" s="276" t="s">
        <v>231</v>
      </c>
      <c r="F15" s="276" t="s">
        <v>232</v>
      </c>
      <c r="G15" s="276" t="s">
        <v>233</v>
      </c>
    </row>
    <row r="16" spans="1:7" x14ac:dyDescent="0.2">
      <c r="A16" s="277" t="s">
        <v>234</v>
      </c>
      <c r="B16" s="277" t="s">
        <v>235</v>
      </c>
      <c r="C16" s="278">
        <v>35369.810834999997</v>
      </c>
      <c r="D16" s="278">
        <v>311621.80723099998</v>
      </c>
      <c r="E16" s="278">
        <v>4975.4772329999996</v>
      </c>
      <c r="F16" s="279">
        <f>D16/E16</f>
        <v>62.631541184463501</v>
      </c>
      <c r="G16" s="280">
        <v>0.56142599999999998</v>
      </c>
    </row>
    <row r="17" spans="1:19" x14ac:dyDescent="0.2">
      <c r="A17" s="277" t="s">
        <v>236</v>
      </c>
      <c r="B17" s="277" t="s">
        <v>237</v>
      </c>
      <c r="C17" s="278">
        <v>43549.301325</v>
      </c>
      <c r="D17" s="278">
        <v>128198.397289</v>
      </c>
      <c r="E17" s="278">
        <v>3470.7651169999999</v>
      </c>
      <c r="F17" s="279">
        <f t="shared" ref="F17:F25" si="1">D17/E17</f>
        <v>36.936638743162753</v>
      </c>
      <c r="G17" s="280">
        <v>0.61604300000000001</v>
      </c>
    </row>
    <row r="18" spans="1:19" x14ac:dyDescent="0.2">
      <c r="A18" s="277" t="s">
        <v>238</v>
      </c>
      <c r="B18" s="277" t="s">
        <v>239</v>
      </c>
      <c r="C18" s="300">
        <v>36421.510125000001</v>
      </c>
      <c r="D18" s="278">
        <v>136489.68594200001</v>
      </c>
      <c r="E18" s="278">
        <v>2856.789859</v>
      </c>
      <c r="F18" s="279">
        <f t="shared" si="1"/>
        <v>47.777292933186658</v>
      </c>
      <c r="G18" s="280">
        <v>0.54902099999999998</v>
      </c>
    </row>
    <row r="19" spans="1:19" x14ac:dyDescent="0.2">
      <c r="A19" s="277" t="s">
        <v>240</v>
      </c>
      <c r="B19" s="277" t="s">
        <v>241</v>
      </c>
      <c r="C19" s="300">
        <v>38376.889319000002</v>
      </c>
      <c r="D19" s="278">
        <v>140937.83874499999</v>
      </c>
      <c r="E19" s="278">
        <v>2566.2673519999998</v>
      </c>
      <c r="F19" s="279">
        <f t="shared" si="1"/>
        <v>54.919390466141891</v>
      </c>
      <c r="G19" s="280">
        <v>0.73801700000000003</v>
      </c>
    </row>
    <row r="20" spans="1:19" x14ac:dyDescent="0.2">
      <c r="A20" s="277" t="s">
        <v>242</v>
      </c>
      <c r="B20" s="277" t="s">
        <v>243</v>
      </c>
      <c r="C20" s="278">
        <v>14624.287496000001</v>
      </c>
      <c r="D20" s="278">
        <v>52483.264876000001</v>
      </c>
      <c r="E20" s="278">
        <v>1242.835781</v>
      </c>
      <c r="F20" s="279">
        <f t="shared" si="1"/>
        <v>42.228640081291644</v>
      </c>
      <c r="G20" s="280">
        <v>0.53876900000000005</v>
      </c>
    </row>
    <row r="21" spans="1:19" x14ac:dyDescent="0.2">
      <c r="A21" s="277" t="s">
        <v>244</v>
      </c>
      <c r="B21" s="277" t="s">
        <v>245</v>
      </c>
      <c r="C21" s="278">
        <v>32909.761159000001</v>
      </c>
      <c r="D21" s="278">
        <v>54524.207391999997</v>
      </c>
      <c r="E21" s="278">
        <v>1326.73966</v>
      </c>
      <c r="F21" s="279">
        <f t="shared" si="1"/>
        <v>41.096387660560325</v>
      </c>
      <c r="G21" s="280">
        <v>0.81343100000000002</v>
      </c>
    </row>
    <row r="22" spans="1:19" x14ac:dyDescent="0.2">
      <c r="A22" s="277" t="s">
        <v>246</v>
      </c>
      <c r="B22" s="277" t="s">
        <v>247</v>
      </c>
      <c r="C22" s="278">
        <v>29280.435260999999</v>
      </c>
      <c r="D22" s="294">
        <f>133227.697784/2</f>
        <v>66613.848891999995</v>
      </c>
      <c r="E22" s="278">
        <v>1116.19118</v>
      </c>
      <c r="F22" s="279">
        <f t="shared" si="1"/>
        <v>59.67960514792815</v>
      </c>
      <c r="G22" s="280">
        <v>0.61000900000000002</v>
      </c>
    </row>
    <row r="23" spans="1:19" x14ac:dyDescent="0.2">
      <c r="A23" s="277" t="s">
        <v>248</v>
      </c>
      <c r="B23" s="277" t="s">
        <v>249</v>
      </c>
      <c r="C23" s="278">
        <v>11353.471777000001</v>
      </c>
      <c r="D23" s="278">
        <v>54069.036286000002</v>
      </c>
      <c r="E23" s="278">
        <v>1127.713436</v>
      </c>
      <c r="F23" s="279">
        <f t="shared" si="1"/>
        <v>47.945723230702029</v>
      </c>
      <c r="G23" s="280">
        <v>0.56767400000000001</v>
      </c>
    </row>
    <row r="24" spans="1:19" x14ac:dyDescent="0.2">
      <c r="A24" s="277" t="s">
        <v>250</v>
      </c>
      <c r="B24" s="277" t="s">
        <v>251</v>
      </c>
      <c r="C24" s="278">
        <v>19520.728606000001</v>
      </c>
      <c r="D24" s="278">
        <v>51186.527765999999</v>
      </c>
      <c r="E24" s="278">
        <v>1155.167052</v>
      </c>
      <c r="F24" s="279">
        <f t="shared" si="1"/>
        <v>44.310931200278034</v>
      </c>
      <c r="G24" s="280">
        <v>0.37417099999999998</v>
      </c>
    </row>
    <row r="25" spans="1:19" x14ac:dyDescent="0.2">
      <c r="A25" s="277" t="s">
        <v>252</v>
      </c>
      <c r="B25" s="277" t="s">
        <v>253</v>
      </c>
      <c r="C25" s="278">
        <v>7095.4716669999998</v>
      </c>
      <c r="D25" s="278">
        <v>54583.676394000002</v>
      </c>
      <c r="E25" s="278">
        <v>1024.4599539999999</v>
      </c>
      <c r="F25" s="279">
        <f t="shared" si="1"/>
        <v>53.280439299631233</v>
      </c>
      <c r="G25" s="280">
        <v>0.26486300000000002</v>
      </c>
    </row>
    <row r="26" spans="1:19" x14ac:dyDescent="0.2">
      <c r="C26" s="146">
        <f>SUM(C16:C25)</f>
        <v>268501.66756999999</v>
      </c>
      <c r="D26" s="146">
        <f>SUM(D16:D25)</f>
        <v>1050708.2908129999</v>
      </c>
      <c r="E26" s="146">
        <f>SUM(E16:E25)</f>
        <v>20862.406624000003</v>
      </c>
      <c r="G26" s="206">
        <f>D26/D13</f>
        <v>1.0051041527653699</v>
      </c>
      <c r="H26" s="358">
        <f>E26/E13</f>
        <v>0.98244495805248011</v>
      </c>
      <c r="I26" s="146">
        <f>E13-E26</f>
        <v>372.78467399999863</v>
      </c>
      <c r="J26" s="146">
        <f>D26-D13</f>
        <v>5335.7411899999715</v>
      </c>
    </row>
    <row r="27" spans="1:19" ht="17.25" x14ac:dyDescent="0.3">
      <c r="A27" s="274" t="s">
        <v>255</v>
      </c>
    </row>
    <row r="28" spans="1:19" ht="25.5" x14ac:dyDescent="0.2">
      <c r="A28" s="275" t="s">
        <v>227</v>
      </c>
      <c r="B28" s="275" t="s">
        <v>228</v>
      </c>
      <c r="C28" s="276" t="s">
        <v>229</v>
      </c>
      <c r="D28" s="276" t="s">
        <v>230</v>
      </c>
      <c r="E28" s="276" t="s">
        <v>231</v>
      </c>
      <c r="F28" s="276" t="s">
        <v>232</v>
      </c>
      <c r="G28" s="276" t="s">
        <v>233</v>
      </c>
      <c r="I28" s="281" t="s">
        <v>256</v>
      </c>
      <c r="J28" s="281" t="s">
        <v>234</v>
      </c>
      <c r="K28" s="281" t="s">
        <v>236</v>
      </c>
      <c r="L28" s="281" t="s">
        <v>238</v>
      </c>
      <c r="M28" s="281" t="s">
        <v>240</v>
      </c>
      <c r="N28" s="281" t="s">
        <v>242</v>
      </c>
      <c r="O28" s="281" t="s">
        <v>244</v>
      </c>
      <c r="P28" s="281" t="s">
        <v>246</v>
      </c>
      <c r="Q28" s="281" t="s">
        <v>248</v>
      </c>
      <c r="R28" s="281" t="s">
        <v>250</v>
      </c>
      <c r="S28" s="281" t="s">
        <v>252</v>
      </c>
    </row>
    <row r="29" spans="1:19" x14ac:dyDescent="0.2">
      <c r="A29" s="277" t="s">
        <v>234</v>
      </c>
      <c r="B29" s="277" t="s">
        <v>235</v>
      </c>
      <c r="C29" s="278">
        <f t="shared" ref="C29:G38" si="2">C16-C3</f>
        <v>826.67738799999643</v>
      </c>
      <c r="D29" s="278">
        <f t="shared" si="2"/>
        <v>7283.3497099999804</v>
      </c>
      <c r="E29" s="278">
        <f t="shared" si="2"/>
        <v>120.85920599999918</v>
      </c>
      <c r="F29" s="280">
        <f t="shared" si="2"/>
        <v>-5.8964191728058779E-2</v>
      </c>
      <c r="G29" s="280">
        <f t="shared" si="2"/>
        <v>1.3121999999999967E-2</v>
      </c>
      <c r="I29" s="281" t="s">
        <v>257</v>
      </c>
      <c r="J29" s="282">
        <v>74871</v>
      </c>
      <c r="K29" s="283">
        <v>106885</v>
      </c>
      <c r="L29" s="283">
        <v>76023</v>
      </c>
      <c r="M29" s="283">
        <v>43027</v>
      </c>
      <c r="N29" s="283">
        <v>106058</v>
      </c>
      <c r="O29" s="282">
        <v>53896</v>
      </c>
      <c r="P29" s="282">
        <v>21101</v>
      </c>
      <c r="Q29" s="282">
        <v>25837</v>
      </c>
      <c r="R29" s="281">
        <v>79644</v>
      </c>
      <c r="S29" s="281">
        <v>110958</v>
      </c>
    </row>
    <row r="30" spans="1:19" x14ac:dyDescent="0.2">
      <c r="A30" s="277" t="s">
        <v>236</v>
      </c>
      <c r="B30" s="277" t="s">
        <v>237</v>
      </c>
      <c r="C30" s="278">
        <f t="shared" si="2"/>
        <v>-5020.3653919999997</v>
      </c>
      <c r="D30" s="278">
        <f t="shared" si="2"/>
        <v>-14778.716935999997</v>
      </c>
      <c r="E30" s="278">
        <f t="shared" si="2"/>
        <v>-440.72003900000027</v>
      </c>
      <c r="F30" s="280">
        <f t="shared" si="2"/>
        <v>0.38348603448352492</v>
      </c>
      <c r="G30" s="280">
        <f t="shared" si="2"/>
        <v>-7.0736000000000021E-2</v>
      </c>
      <c r="I30" s="281" t="s">
        <v>258</v>
      </c>
      <c r="J30" s="282">
        <v>8.8103890000000007</v>
      </c>
      <c r="K30" s="282">
        <v>2.9437530000000001</v>
      </c>
      <c r="L30" s="282">
        <v>3.7475019999999999</v>
      </c>
      <c r="M30" s="282">
        <v>3.672466</v>
      </c>
      <c r="N30" s="282">
        <v>3.5887739999999999</v>
      </c>
      <c r="O30" s="282">
        <v>1.656779</v>
      </c>
      <c r="P30" s="282">
        <v>4.5500590000000001</v>
      </c>
      <c r="Q30" s="282">
        <v>4.7623350000000002</v>
      </c>
      <c r="R30" s="281">
        <v>2.622163</v>
      </c>
      <c r="S30" s="281">
        <v>7.6927479999999999</v>
      </c>
    </row>
    <row r="31" spans="1:19" x14ac:dyDescent="0.2">
      <c r="A31" s="277" t="s">
        <v>238</v>
      </c>
      <c r="B31" s="277" t="s">
        <v>239</v>
      </c>
      <c r="C31" s="278">
        <f t="shared" si="2"/>
        <v>-15318.272204000001</v>
      </c>
      <c r="D31" s="278">
        <f t="shared" si="2"/>
        <v>-57405.257359999989</v>
      </c>
      <c r="E31" s="278">
        <f t="shared" si="2"/>
        <v>-1497.3469300000002</v>
      </c>
      <c r="F31" s="280">
        <f t="shared" si="2"/>
        <v>3.2460912971142193</v>
      </c>
      <c r="G31" s="280">
        <f t="shared" si="2"/>
        <v>-0.24187100000000006</v>
      </c>
      <c r="I31" s="281" t="s">
        <v>259</v>
      </c>
      <c r="J31" s="282">
        <v>3</v>
      </c>
      <c r="K31" s="282">
        <v>-1</v>
      </c>
      <c r="L31" s="282">
        <v>0</v>
      </c>
      <c r="M31" s="282">
        <v>0</v>
      </c>
      <c r="N31" s="282">
        <v>-1</v>
      </c>
      <c r="O31" s="282">
        <v>0</v>
      </c>
      <c r="P31" s="282">
        <v>0</v>
      </c>
      <c r="Q31" s="282">
        <v>0</v>
      </c>
      <c r="R31" s="281">
        <v>1</v>
      </c>
      <c r="S31" s="281">
        <v>0</v>
      </c>
    </row>
    <row r="32" spans="1:19" x14ac:dyDescent="0.2">
      <c r="A32" s="277" t="s">
        <v>240</v>
      </c>
      <c r="B32" s="277" t="s">
        <v>241</v>
      </c>
      <c r="C32" s="278">
        <f t="shared" si="2"/>
        <v>-4753.875208999998</v>
      </c>
      <c r="D32" s="278">
        <f t="shared" si="2"/>
        <v>-17458.447243000002</v>
      </c>
      <c r="E32" s="278">
        <f t="shared" si="2"/>
        <v>-416.93412800000033</v>
      </c>
      <c r="F32" s="280">
        <f t="shared" si="2"/>
        <v>1.8233166508392884</v>
      </c>
      <c r="G32" s="280">
        <f t="shared" si="2"/>
        <v>-9.1420999999999975E-2</v>
      </c>
      <c r="I32" s="281" t="s">
        <v>260</v>
      </c>
      <c r="J32" s="282">
        <v>39</v>
      </c>
      <c r="K32" s="282">
        <v>52</v>
      </c>
      <c r="L32" s="282">
        <v>40</v>
      </c>
      <c r="M32" s="282">
        <v>20</v>
      </c>
      <c r="N32" s="282">
        <v>28</v>
      </c>
      <c r="O32" s="282">
        <v>12</v>
      </c>
      <c r="P32" s="282">
        <v>14</v>
      </c>
      <c r="Q32" s="282">
        <v>8</v>
      </c>
      <c r="R32" s="281">
        <v>26</v>
      </c>
      <c r="S32" s="281">
        <v>25</v>
      </c>
    </row>
    <row r="33" spans="1:19" x14ac:dyDescent="0.2">
      <c r="A33" s="277" t="s">
        <v>242</v>
      </c>
      <c r="B33" s="277" t="s">
        <v>243</v>
      </c>
      <c r="C33" s="278">
        <f t="shared" si="2"/>
        <v>4433.0784060000005</v>
      </c>
      <c r="D33" s="278">
        <f t="shared" si="2"/>
        <v>15909.317173000003</v>
      </c>
      <c r="E33" s="278">
        <f t="shared" si="2"/>
        <v>392.40740300000004</v>
      </c>
      <c r="F33" s="280">
        <f t="shared" si="2"/>
        <v>-0.77785952425185911</v>
      </c>
      <c r="G33" s="280">
        <f t="shared" si="2"/>
        <v>0.16180100000000003</v>
      </c>
      <c r="I33" s="281" t="s">
        <v>261</v>
      </c>
      <c r="J33" s="282">
        <v>30</v>
      </c>
      <c r="K33" s="282">
        <v>55</v>
      </c>
      <c r="L33" s="282">
        <v>40</v>
      </c>
      <c r="M33" s="282">
        <v>20</v>
      </c>
      <c r="N33" s="282">
        <v>30</v>
      </c>
      <c r="O33" s="282">
        <v>12</v>
      </c>
      <c r="P33" s="282">
        <v>14</v>
      </c>
      <c r="Q33" s="282">
        <v>8</v>
      </c>
      <c r="R33" s="281">
        <v>24</v>
      </c>
      <c r="S33" s="281">
        <v>25</v>
      </c>
    </row>
    <row r="34" spans="1:19" x14ac:dyDescent="0.2">
      <c r="A34" s="277" t="s">
        <v>244</v>
      </c>
      <c r="B34" s="277" t="s">
        <v>245</v>
      </c>
      <c r="C34" s="278">
        <f t="shared" si="2"/>
        <v>13204.256222</v>
      </c>
      <c r="D34" s="278">
        <f t="shared" si="2"/>
        <v>21876.536909999995</v>
      </c>
      <c r="E34" s="278">
        <f t="shared" si="2"/>
        <v>582.69103899999993</v>
      </c>
      <c r="F34" s="280">
        <f t="shared" si="2"/>
        <v>-2.782022379527632</v>
      </c>
      <c r="G34" s="280">
        <f t="shared" si="2"/>
        <v>0.31467700000000004</v>
      </c>
      <c r="I34" s="281" t="s">
        <v>262</v>
      </c>
      <c r="J34" s="282">
        <v>1380</v>
      </c>
      <c r="K34" s="282">
        <v>800</v>
      </c>
      <c r="L34" s="282">
        <v>860</v>
      </c>
      <c r="M34" s="282">
        <v>560</v>
      </c>
      <c r="N34" s="282">
        <v>940</v>
      </c>
      <c r="O34" s="282">
        <v>335</v>
      </c>
      <c r="P34" s="282">
        <v>315</v>
      </c>
      <c r="Q34" s="282">
        <v>420</v>
      </c>
      <c r="R34" s="281">
        <v>690</v>
      </c>
      <c r="S34" s="281">
        <v>1050</v>
      </c>
    </row>
    <row r="35" spans="1:19" x14ac:dyDescent="0.2">
      <c r="A35" s="277" t="s">
        <v>246</v>
      </c>
      <c r="B35" s="277" t="s">
        <v>247</v>
      </c>
      <c r="C35" s="278">
        <f t="shared" si="2"/>
        <v>25857.449324999998</v>
      </c>
      <c r="D35" s="278">
        <f t="shared" si="2"/>
        <v>58648.409807999997</v>
      </c>
      <c r="E35" s="278">
        <f t="shared" si="2"/>
        <v>937.51059099999998</v>
      </c>
      <c r="F35" s="280">
        <f t="shared" si="2"/>
        <v>15.100397475851359</v>
      </c>
      <c r="G35" s="280">
        <f t="shared" si="2"/>
        <v>0.53869699999999998</v>
      </c>
      <c r="I35" s="281" t="s">
        <v>263</v>
      </c>
      <c r="J35" s="282">
        <v>48300</v>
      </c>
      <c r="K35" s="282">
        <v>31000</v>
      </c>
      <c r="L35" s="282">
        <v>27400</v>
      </c>
      <c r="M35" s="282">
        <v>13000</v>
      </c>
      <c r="N35" s="282">
        <v>26900</v>
      </c>
      <c r="O35" s="282">
        <v>10200</v>
      </c>
      <c r="P35" s="282">
        <v>8400</v>
      </c>
      <c r="Q35" s="282">
        <v>8000</v>
      </c>
      <c r="R35" s="281">
        <v>22400</v>
      </c>
      <c r="S35" s="281">
        <v>29000</v>
      </c>
    </row>
    <row r="36" spans="1:19" x14ac:dyDescent="0.2">
      <c r="A36" s="277" t="s">
        <v>248</v>
      </c>
      <c r="B36" s="277" t="s">
        <v>249</v>
      </c>
      <c r="C36" s="278">
        <f t="shared" si="2"/>
        <v>3400.031981000001</v>
      </c>
      <c r="D36" s="278">
        <f t="shared" si="2"/>
        <v>16192.091388000001</v>
      </c>
      <c r="E36" s="278">
        <f t="shared" si="2"/>
        <v>437.24264700000003</v>
      </c>
      <c r="F36" s="280">
        <f t="shared" si="2"/>
        <v>-6.9109709284479877</v>
      </c>
      <c r="G36" s="280">
        <f t="shared" si="2"/>
        <v>0.17000199999999999</v>
      </c>
      <c r="I36" s="281" t="s">
        <v>264</v>
      </c>
      <c r="J36" s="282">
        <v>253</v>
      </c>
      <c r="K36" s="282">
        <v>286</v>
      </c>
      <c r="L36" s="282">
        <v>247</v>
      </c>
      <c r="M36" s="282">
        <v>20</v>
      </c>
      <c r="N36" s="282">
        <v>336</v>
      </c>
      <c r="O36" s="282">
        <v>126</v>
      </c>
      <c r="P36" s="282">
        <v>98</v>
      </c>
      <c r="Q36" s="282">
        <v>32</v>
      </c>
      <c r="R36" s="281">
        <v>208</v>
      </c>
      <c r="S36" s="281">
        <v>226</v>
      </c>
    </row>
    <row r="37" spans="1:19" x14ac:dyDescent="0.2">
      <c r="A37" s="277" t="s">
        <v>250</v>
      </c>
      <c r="B37" s="277" t="s">
        <v>251</v>
      </c>
      <c r="C37" s="278">
        <f t="shared" si="2"/>
        <v>830.36524500000087</v>
      </c>
      <c r="D37" s="278">
        <f t="shared" si="2"/>
        <v>2177.3528280000028</v>
      </c>
      <c r="E37" s="278">
        <f t="shared" si="2"/>
        <v>50.243877000000111</v>
      </c>
      <c r="F37" s="280">
        <f t="shared" si="2"/>
        <v>-4.4347109456033706E-2</v>
      </c>
      <c r="G37" s="280">
        <f t="shared" si="2"/>
        <v>1.3615999999999961E-2</v>
      </c>
      <c r="I37" s="281" t="s">
        <v>265</v>
      </c>
      <c r="J37" s="282">
        <v>23</v>
      </c>
      <c r="K37" s="282">
        <v>88</v>
      </c>
      <c r="L37" s="282">
        <v>76</v>
      </c>
      <c r="M37" s="282">
        <v>50</v>
      </c>
      <c r="N37" s="282">
        <v>144</v>
      </c>
      <c r="O37" s="282">
        <v>54</v>
      </c>
      <c r="P37" s="282">
        <v>42</v>
      </c>
      <c r="Q37" s="282">
        <v>24</v>
      </c>
      <c r="R37" s="281">
        <v>64</v>
      </c>
      <c r="S37" s="281">
        <v>106</v>
      </c>
    </row>
    <row r="38" spans="1:19" x14ac:dyDescent="0.2">
      <c r="A38" s="277" t="s">
        <v>252</v>
      </c>
      <c r="B38" s="277" t="s">
        <v>253</v>
      </c>
      <c r="C38" s="278">
        <f t="shared" si="2"/>
        <v>-3523.9545909999997</v>
      </c>
      <c r="D38" s="278">
        <f t="shared" si="2"/>
        <v>-27108.895087999997</v>
      </c>
      <c r="E38" s="278">
        <f t="shared" si="2"/>
        <v>-538.73834000000011</v>
      </c>
      <c r="F38" s="280">
        <f t="shared" si="2"/>
        <v>1.020548922601435</v>
      </c>
      <c r="G38" s="280">
        <f t="shared" si="2"/>
        <v>-0.13025899999999996</v>
      </c>
      <c r="I38" s="281" t="s">
        <v>266</v>
      </c>
      <c r="J38" s="282">
        <v>69</v>
      </c>
      <c r="K38" s="282">
        <v>122</v>
      </c>
      <c r="L38" s="282">
        <v>80</v>
      </c>
      <c r="M38" s="282">
        <v>40</v>
      </c>
      <c r="N38" s="282">
        <v>62</v>
      </c>
      <c r="O38" s="282">
        <v>24</v>
      </c>
      <c r="P38" s="282">
        <v>28</v>
      </c>
      <c r="Q38" s="282">
        <v>16</v>
      </c>
      <c r="R38" s="281">
        <v>59</v>
      </c>
      <c r="S38" s="281">
        <v>56</v>
      </c>
    </row>
    <row r="39" spans="1:19" x14ac:dyDescent="0.2">
      <c r="C39" s="146">
        <f>SUM(C29:C38)</f>
        <v>19935.391170999996</v>
      </c>
      <c r="D39" s="146">
        <f>SUM(D29:D38)</f>
        <v>5335.7411899999934</v>
      </c>
      <c r="E39" s="146">
        <f>SUM(E29:E38)</f>
        <v>-372.78467400000159</v>
      </c>
      <c r="I39" s="281" t="s">
        <v>267</v>
      </c>
      <c r="J39" s="282">
        <v>81900</v>
      </c>
      <c r="K39" s="282">
        <v>73200</v>
      </c>
      <c r="L39" s="282">
        <v>57600</v>
      </c>
      <c r="M39" s="282">
        <v>26000</v>
      </c>
      <c r="N39" s="282">
        <v>31800</v>
      </c>
      <c r="O39" s="282">
        <v>13800</v>
      </c>
      <c r="P39" s="282">
        <v>16800</v>
      </c>
      <c r="Q39" s="282">
        <v>8000</v>
      </c>
      <c r="R39" s="281">
        <v>36400</v>
      </c>
      <c r="S39" s="281">
        <v>33200</v>
      </c>
    </row>
    <row r="40" spans="1:19" x14ac:dyDescent="0.2">
      <c r="I40" s="281" t="s">
        <v>268</v>
      </c>
      <c r="J40" s="282">
        <v>63000</v>
      </c>
      <c r="K40" s="282">
        <v>77400</v>
      </c>
      <c r="L40" s="282">
        <v>57600</v>
      </c>
      <c r="M40" s="282">
        <v>26000</v>
      </c>
      <c r="N40" s="282">
        <v>34000</v>
      </c>
      <c r="O40" s="282">
        <v>13800</v>
      </c>
      <c r="P40" s="282">
        <v>16800</v>
      </c>
      <c r="Q40" s="282">
        <v>8000</v>
      </c>
      <c r="R40" s="281">
        <v>33600</v>
      </c>
      <c r="S40" s="281">
        <v>33200</v>
      </c>
    </row>
    <row r="41" spans="1:19" x14ac:dyDescent="0.2">
      <c r="I41" s="281" t="s">
        <v>269</v>
      </c>
      <c r="J41" s="282">
        <v>8.1326669999999996</v>
      </c>
      <c r="K41" s="282">
        <v>4.373907</v>
      </c>
      <c r="L41" s="282">
        <v>4.4052899999999999</v>
      </c>
      <c r="M41" s="282">
        <v>3.6527970000000001</v>
      </c>
      <c r="N41" s="282">
        <v>4.8415229999999996</v>
      </c>
      <c r="O41" s="282">
        <v>2.1762589999999999</v>
      </c>
      <c r="P41" s="282">
        <v>4.0141669999999996</v>
      </c>
      <c r="Q41" s="282">
        <v>4.9823139999999997</v>
      </c>
      <c r="R41" s="281">
        <v>3.380776</v>
      </c>
      <c r="S41" s="281">
        <v>8.2941909999999996</v>
      </c>
    </row>
    <row r="42" spans="1:19" x14ac:dyDescent="0.2">
      <c r="I42" s="281" t="s">
        <v>270</v>
      </c>
      <c r="J42" s="282">
        <v>230</v>
      </c>
      <c r="K42" s="282">
        <v>132</v>
      </c>
      <c r="L42" s="282">
        <v>114</v>
      </c>
      <c r="M42" s="282">
        <v>60</v>
      </c>
      <c r="N42" s="282">
        <v>144</v>
      </c>
      <c r="O42" s="282">
        <v>54</v>
      </c>
      <c r="P42" s="282">
        <v>42</v>
      </c>
      <c r="Q42" s="282">
        <v>48</v>
      </c>
      <c r="R42" s="281">
        <v>96</v>
      </c>
      <c r="S42" s="281">
        <v>132</v>
      </c>
    </row>
    <row r="43" spans="1:19" x14ac:dyDescent="0.2">
      <c r="I43" s="281" t="s">
        <v>271</v>
      </c>
      <c r="J43" s="282"/>
      <c r="K43" s="282"/>
      <c r="L43" s="282"/>
      <c r="M43" s="282"/>
      <c r="N43" s="282"/>
      <c r="O43" s="282"/>
      <c r="P43" s="282"/>
      <c r="Q43" s="282"/>
      <c r="R43" s="281"/>
      <c r="S43" s="281"/>
    </row>
    <row r="44" spans="1:19" x14ac:dyDescent="0.2">
      <c r="I44" s="281" t="s">
        <v>272</v>
      </c>
      <c r="J44" s="282"/>
      <c r="K44" s="282"/>
      <c r="L44" s="282">
        <v>7</v>
      </c>
      <c r="M44" s="282"/>
      <c r="N44" s="282"/>
      <c r="O44" s="282">
        <v>3</v>
      </c>
      <c r="P44" s="282"/>
      <c r="Q44" s="282">
        <v>4</v>
      </c>
      <c r="R44" s="281"/>
      <c r="S44" s="281">
        <v>7</v>
      </c>
    </row>
    <row r="45" spans="1:19" x14ac:dyDescent="0.2">
      <c r="I45" s="281" t="s">
        <v>273</v>
      </c>
      <c r="J45" s="283">
        <v>175100</v>
      </c>
      <c r="K45" s="283">
        <v>90200</v>
      </c>
      <c r="L45" s="283">
        <v>186700</v>
      </c>
      <c r="M45" s="283"/>
      <c r="N45" s="283">
        <v>57500</v>
      </c>
      <c r="O45" s="283">
        <v>38500</v>
      </c>
      <c r="P45" s="283">
        <v>6400</v>
      </c>
      <c r="Q45" s="282">
        <v>3100</v>
      </c>
      <c r="R45" s="281">
        <v>19100</v>
      </c>
      <c r="S45" s="281">
        <v>32200</v>
      </c>
    </row>
    <row r="46" spans="1:19" x14ac:dyDescent="0.2">
      <c r="I46" s="281" t="s">
        <v>274</v>
      </c>
      <c r="J46" s="283">
        <v>757974.49070199998</v>
      </c>
      <c r="K46" s="283">
        <v>778871.88746799994</v>
      </c>
      <c r="L46" s="283">
        <v>522861.61854400003</v>
      </c>
      <c r="M46" s="283">
        <v>456765.811728</v>
      </c>
      <c r="N46" s="283">
        <v>378123.95573099999</v>
      </c>
      <c r="O46" s="283">
        <v>259298.65806300001</v>
      </c>
      <c r="P46" s="283">
        <v>125493.475853</v>
      </c>
      <c r="Q46" s="282">
        <v>74002.873147000006</v>
      </c>
      <c r="R46" s="281">
        <v>314096.46834000002</v>
      </c>
      <c r="S46" s="281">
        <v>227158.22796700001</v>
      </c>
    </row>
    <row r="47" spans="1:19" x14ac:dyDescent="0.2">
      <c r="I47" s="281" t="s">
        <v>275</v>
      </c>
      <c r="J47" s="283">
        <v>302615.12990499998</v>
      </c>
      <c r="K47" s="283">
        <v>114572.66703300001</v>
      </c>
      <c r="L47" s="283">
        <v>110648.438948</v>
      </c>
      <c r="M47" s="283">
        <v>168489.66678</v>
      </c>
      <c r="N47" s="283">
        <v>60707.483563000002</v>
      </c>
      <c r="O47" s="283">
        <v>62619.840154999998</v>
      </c>
      <c r="P47" s="283">
        <v>217424.33677200001</v>
      </c>
      <c r="Q47" s="282">
        <v>42293.389295000001</v>
      </c>
      <c r="R47" s="281">
        <v>58870.177990999997</v>
      </c>
      <c r="S47" s="281">
        <v>68603.166163999995</v>
      </c>
    </row>
    <row r="48" spans="1:19" x14ac:dyDescent="0.2">
      <c r="I48" s="281" t="s">
        <v>276</v>
      </c>
      <c r="J48" s="283">
        <v>4825.8765160000003</v>
      </c>
      <c r="K48" s="283">
        <v>3071.8570610000002</v>
      </c>
      <c r="L48" s="283">
        <v>2281.5932630000002</v>
      </c>
      <c r="M48" s="283">
        <v>3236.149809</v>
      </c>
      <c r="N48" s="283">
        <v>1458.594652</v>
      </c>
      <c r="O48" s="283">
        <v>1585.45389</v>
      </c>
      <c r="P48" s="283">
        <v>986.79791299999999</v>
      </c>
      <c r="Q48" s="282">
        <v>782.79431599999998</v>
      </c>
      <c r="R48" s="281">
        <v>1337.6149109999999</v>
      </c>
      <c r="S48" s="281">
        <v>1315.9584930000001</v>
      </c>
    </row>
    <row r="49" spans="9:19" x14ac:dyDescent="0.2">
      <c r="I49" s="281" t="s">
        <v>277</v>
      </c>
      <c r="J49" s="283">
        <v>8.4179390000000005</v>
      </c>
      <c r="K49" s="283">
        <v>4.7111780000000003</v>
      </c>
      <c r="L49" s="283">
        <v>4.6199399999999997</v>
      </c>
      <c r="M49" s="283">
        <v>4.223535</v>
      </c>
      <c r="N49" s="283">
        <v>5.2369880000000002</v>
      </c>
      <c r="O49" s="283">
        <v>2.5796860000000001</v>
      </c>
      <c r="P49" s="283">
        <v>4.3769499999999999</v>
      </c>
      <c r="Q49" s="282">
        <v>5.2178940000000003</v>
      </c>
      <c r="R49" s="281">
        <v>3.5483549999999999</v>
      </c>
      <c r="S49" s="281">
        <v>8.5679040000000004</v>
      </c>
    </row>
    <row r="50" spans="9:19" x14ac:dyDescent="0.2">
      <c r="I50" s="281" t="s">
        <v>278</v>
      </c>
      <c r="J50" s="283">
        <v>766658.21820300003</v>
      </c>
      <c r="K50" s="283">
        <v>984525.96331300004</v>
      </c>
      <c r="L50" s="283">
        <v>882188.70314200001</v>
      </c>
      <c r="M50" s="283">
        <v>431620.351922</v>
      </c>
      <c r="N50" s="283">
        <v>222858.06069000001</v>
      </c>
      <c r="O50" s="283">
        <v>148298.668676</v>
      </c>
      <c r="P50" s="283">
        <v>47526.540214000001</v>
      </c>
      <c r="Q50" s="282">
        <v>66452.542061999993</v>
      </c>
      <c r="R50" s="281">
        <v>269399.36711300001</v>
      </c>
      <c r="S50" s="281">
        <v>249659.807795</v>
      </c>
    </row>
    <row r="51" spans="9:19" x14ac:dyDescent="0.2">
      <c r="I51" s="281" t="s">
        <v>279</v>
      </c>
      <c r="J51" s="283">
        <v>304338.457521</v>
      </c>
      <c r="K51" s="283">
        <v>142977.114225</v>
      </c>
      <c r="L51" s="283">
        <v>193894.943302</v>
      </c>
      <c r="M51" s="283">
        <v>158396.28598799999</v>
      </c>
      <c r="N51" s="283">
        <v>36573.947702999998</v>
      </c>
      <c r="O51" s="283">
        <v>32647.670482000001</v>
      </c>
      <c r="P51" s="283">
        <v>7965.4390839999996</v>
      </c>
      <c r="Q51" s="282">
        <v>37876.944898000002</v>
      </c>
      <c r="R51" s="281">
        <v>49009.174937999996</v>
      </c>
      <c r="S51" s="281">
        <v>81692.571481999999</v>
      </c>
    </row>
    <row r="52" spans="9:19" x14ac:dyDescent="0.2">
      <c r="I52" s="281" t="s">
        <v>280</v>
      </c>
      <c r="J52" s="283">
        <v>4854.6180270000004</v>
      </c>
      <c r="K52" s="283">
        <v>3911.4851560000002</v>
      </c>
      <c r="L52" s="283">
        <v>4354.1367890000001</v>
      </c>
      <c r="M52" s="283">
        <v>2983.2014800000002</v>
      </c>
      <c r="N52" s="283">
        <v>850.42837799999995</v>
      </c>
      <c r="O52" s="283">
        <v>744.04862100000003</v>
      </c>
      <c r="P52" s="283">
        <v>178.680589</v>
      </c>
      <c r="Q52" s="282">
        <v>690.47078899999997</v>
      </c>
      <c r="R52" s="281">
        <v>1104.9231749999999</v>
      </c>
      <c r="S52" s="281">
        <v>1563.198294</v>
      </c>
    </row>
    <row r="53" spans="9:19" x14ac:dyDescent="0.2">
      <c r="I53" s="281" t="s">
        <v>281</v>
      </c>
      <c r="J53" s="282">
        <v>8.4228349999999992</v>
      </c>
      <c r="K53" s="282">
        <v>4.8116750000000001</v>
      </c>
      <c r="L53" s="282">
        <v>5.0259260000000001</v>
      </c>
      <c r="M53" s="282">
        <v>4.1404069999999997</v>
      </c>
      <c r="N53" s="282">
        <v>5.0568099999999996</v>
      </c>
      <c r="O53" s="282">
        <v>2.2994789999999998</v>
      </c>
      <c r="P53" s="282">
        <v>3.3400439999999998</v>
      </c>
      <c r="Q53" s="282">
        <v>5.1638310000000001</v>
      </c>
      <c r="R53" s="281">
        <v>3.51952</v>
      </c>
      <c r="S53" s="281">
        <v>8.6506729999999994</v>
      </c>
    </row>
    <row r="54" spans="9:19" x14ac:dyDescent="0.2">
      <c r="I54" s="281" t="s">
        <v>282</v>
      </c>
      <c r="J54" s="282">
        <v>12.169178</v>
      </c>
      <c r="K54" s="282">
        <v>14.493487</v>
      </c>
      <c r="L54" s="282">
        <v>14.732752</v>
      </c>
      <c r="M54" s="282">
        <v>8.3003909999999994</v>
      </c>
      <c r="N54" s="282">
        <v>8.7072540000000007</v>
      </c>
      <c r="O54" s="282">
        <v>4.8665250000000002</v>
      </c>
      <c r="P54" s="282">
        <v>0.99013600000000002</v>
      </c>
      <c r="Q54" s="282">
        <v>3.3226270000000002</v>
      </c>
      <c r="R54" s="281">
        <v>6.2771619999999997</v>
      </c>
      <c r="S54" s="281">
        <v>8.5034010000000002</v>
      </c>
    </row>
    <row r="55" spans="9:19" x14ac:dyDescent="0.2">
      <c r="I55" s="281" t="s">
        <v>283</v>
      </c>
      <c r="J55" s="282">
        <v>23</v>
      </c>
      <c r="K55" s="282">
        <v>11</v>
      </c>
      <c r="L55" s="282">
        <v>19</v>
      </c>
      <c r="M55" s="282">
        <v>5</v>
      </c>
      <c r="N55" s="282">
        <v>15</v>
      </c>
      <c r="O55" s="282">
        <v>9</v>
      </c>
      <c r="P55" s="282">
        <v>7</v>
      </c>
      <c r="Q55" s="282">
        <v>3</v>
      </c>
      <c r="R55" s="281">
        <v>8</v>
      </c>
      <c r="S55" s="281">
        <v>22</v>
      </c>
    </row>
    <row r="56" spans="9:19" x14ac:dyDescent="0.2">
      <c r="I56" s="281" t="s">
        <v>284</v>
      </c>
      <c r="J56" s="282">
        <v>23</v>
      </c>
      <c r="K56" s="282">
        <v>22</v>
      </c>
      <c r="L56" s="282">
        <v>19</v>
      </c>
      <c r="M56" s="282">
        <v>10</v>
      </c>
      <c r="N56" s="282">
        <v>24</v>
      </c>
      <c r="O56" s="282">
        <v>9</v>
      </c>
      <c r="P56" s="282">
        <v>7</v>
      </c>
      <c r="Q56" s="282">
        <v>8</v>
      </c>
      <c r="R56" s="281">
        <v>16</v>
      </c>
      <c r="S56" s="281">
        <v>22</v>
      </c>
    </row>
    <row r="57" spans="9:19" x14ac:dyDescent="0.2">
      <c r="I57" s="281" t="s">
        <v>285</v>
      </c>
      <c r="J57" s="282">
        <v>23</v>
      </c>
      <c r="K57" s="282">
        <v>22</v>
      </c>
      <c r="L57" s="282">
        <v>19</v>
      </c>
      <c r="M57" s="282">
        <v>10</v>
      </c>
      <c r="N57" s="282">
        <v>24</v>
      </c>
      <c r="O57" s="282">
        <v>9</v>
      </c>
      <c r="P57" s="282">
        <v>7</v>
      </c>
      <c r="Q57" s="282">
        <v>8</v>
      </c>
      <c r="R57" s="281">
        <v>16</v>
      </c>
      <c r="S57" s="281">
        <v>22</v>
      </c>
    </row>
    <row r="58" spans="9:19" x14ac:dyDescent="0.2">
      <c r="I58" s="281" t="s">
        <v>227</v>
      </c>
      <c r="J58" s="282">
        <v>69</v>
      </c>
      <c r="K58" s="282">
        <v>220</v>
      </c>
      <c r="L58" s="282">
        <v>209</v>
      </c>
      <c r="M58" s="282">
        <v>120</v>
      </c>
      <c r="N58" s="282">
        <v>480</v>
      </c>
      <c r="O58" s="282">
        <v>189</v>
      </c>
      <c r="P58" s="282">
        <v>154</v>
      </c>
      <c r="Q58" s="282">
        <v>240</v>
      </c>
      <c r="R58" s="281">
        <v>640</v>
      </c>
      <c r="S58" s="281">
        <v>902</v>
      </c>
    </row>
    <row r="59" spans="9:19" x14ac:dyDescent="0.2">
      <c r="I59" s="281" t="s">
        <v>286</v>
      </c>
      <c r="J59" s="282">
        <v>783279.56675600004</v>
      </c>
      <c r="K59" s="282">
        <v>876014.80127099995</v>
      </c>
      <c r="L59" s="282">
        <v>637964.57543199998</v>
      </c>
      <c r="M59" s="282">
        <v>391512.28038499999</v>
      </c>
      <c r="N59" s="282">
        <v>325359.92727799999</v>
      </c>
      <c r="O59" s="282">
        <v>228254.95960900001</v>
      </c>
      <c r="P59" s="282">
        <v>119913.351196</v>
      </c>
      <c r="Q59" s="282">
        <v>89883.845260999995</v>
      </c>
      <c r="R59" s="281">
        <v>274758.10060900002</v>
      </c>
      <c r="S59" s="281">
        <v>178095.60386100001</v>
      </c>
    </row>
    <row r="60" spans="9:19" x14ac:dyDescent="0.2">
      <c r="I60" s="281" t="s">
        <v>287</v>
      </c>
      <c r="J60" s="282">
        <v>311621.80723099998</v>
      </c>
      <c r="K60" s="282">
        <v>128198.397289</v>
      </c>
      <c r="L60" s="282">
        <v>136489.68594200001</v>
      </c>
      <c r="M60" s="282">
        <v>140937.83874499999</v>
      </c>
      <c r="N60" s="282">
        <v>52483.264876000001</v>
      </c>
      <c r="O60" s="282">
        <v>54524.207391999997</v>
      </c>
      <c r="P60" s="282">
        <v>133227.69778399999</v>
      </c>
      <c r="Q60" s="282">
        <v>54069.036286000002</v>
      </c>
      <c r="R60" s="281">
        <v>51186.527765999999</v>
      </c>
      <c r="S60" s="281">
        <v>54583.676394000002</v>
      </c>
    </row>
    <row r="61" spans="9:19" x14ac:dyDescent="0.2">
      <c r="I61" s="281" t="s">
        <v>288</v>
      </c>
      <c r="J61" s="282">
        <v>4975.4772329999996</v>
      </c>
      <c r="K61" s="282">
        <v>3470.7651169999999</v>
      </c>
      <c r="L61" s="282">
        <v>2856.789859</v>
      </c>
      <c r="M61" s="282">
        <v>2566.2673519999998</v>
      </c>
      <c r="N61" s="282">
        <v>1242.835781</v>
      </c>
      <c r="O61" s="282">
        <v>1326.73966</v>
      </c>
      <c r="P61" s="282">
        <v>1116.19118</v>
      </c>
      <c r="Q61" s="282">
        <v>1127.713436</v>
      </c>
      <c r="R61" s="281">
        <v>1155.167052</v>
      </c>
      <c r="S61" s="281">
        <v>1024.4599539999999</v>
      </c>
    </row>
    <row r="62" spans="9:19" x14ac:dyDescent="0.2">
      <c r="I62" s="281" t="s">
        <v>289</v>
      </c>
      <c r="J62" s="282">
        <v>8.4299029999999995</v>
      </c>
      <c r="K62" s="282">
        <v>4.759328</v>
      </c>
      <c r="L62" s="282">
        <v>4.6977500000000001</v>
      </c>
      <c r="M62" s="282">
        <v>4.0309990000000004</v>
      </c>
      <c r="N62" s="282">
        <v>5.1566479999999997</v>
      </c>
      <c r="O62" s="282">
        <v>2.4776570000000002</v>
      </c>
      <c r="P62" s="282">
        <v>4.1520720000000004</v>
      </c>
      <c r="Q62" s="282">
        <v>5.485436</v>
      </c>
      <c r="R62" s="281">
        <v>3.5230350000000001</v>
      </c>
      <c r="S62" s="281">
        <v>8.5118849999999995</v>
      </c>
    </row>
    <row r="63" spans="9:19" x14ac:dyDescent="0.2">
      <c r="I63" s="281" t="s">
        <v>290</v>
      </c>
      <c r="J63" s="282">
        <v>12.433009</v>
      </c>
      <c r="K63" s="282">
        <v>12.860723</v>
      </c>
      <c r="L63" s="282">
        <v>10.696251999999999</v>
      </c>
      <c r="M63" s="282">
        <v>7.5290819999999998</v>
      </c>
      <c r="N63" s="282">
        <v>12.688173000000001</v>
      </c>
      <c r="O63" s="282">
        <v>7.3308099999999996</v>
      </c>
      <c r="P63" s="282">
        <v>2.4981949999999999</v>
      </c>
      <c r="Q63" s="282">
        <v>4.494192</v>
      </c>
      <c r="R63" s="281">
        <v>6.3209400000000002</v>
      </c>
      <c r="S63" s="281">
        <v>6.0777229999999998</v>
      </c>
    </row>
    <row r="64" spans="9:19" x14ac:dyDescent="0.2">
      <c r="I64" s="281" t="s">
        <v>291</v>
      </c>
      <c r="J64" s="282">
        <v>1449000</v>
      </c>
      <c r="K64" s="282">
        <v>1506000</v>
      </c>
      <c r="L64" s="282">
        <v>1152000</v>
      </c>
      <c r="M64" s="282">
        <v>520000</v>
      </c>
      <c r="N64" s="282">
        <v>658000</v>
      </c>
      <c r="O64" s="282">
        <v>276000</v>
      </c>
      <c r="P64" s="282">
        <v>336000</v>
      </c>
      <c r="Q64" s="282">
        <v>160000</v>
      </c>
      <c r="R64" s="281">
        <v>700000</v>
      </c>
      <c r="S64" s="281">
        <v>664000</v>
      </c>
    </row>
    <row r="66" spans="9:16" x14ac:dyDescent="0.2">
      <c r="I66" s="281" t="s">
        <v>292</v>
      </c>
    </row>
    <row r="67" spans="9:16" x14ac:dyDescent="0.2">
      <c r="I67" s="281" t="s">
        <v>227</v>
      </c>
      <c r="J67" t="s">
        <v>293</v>
      </c>
      <c r="K67" t="s">
        <v>258</v>
      </c>
      <c r="L67" t="s">
        <v>294</v>
      </c>
      <c r="M67" t="s">
        <v>295</v>
      </c>
      <c r="N67" t="s">
        <v>296</v>
      </c>
      <c r="O67" t="s">
        <v>297</v>
      </c>
      <c r="P67" t="s">
        <v>298</v>
      </c>
    </row>
    <row r="68" spans="9:16" x14ac:dyDescent="0.2">
      <c r="I68" s="284" t="s">
        <v>299</v>
      </c>
      <c r="J68">
        <v>7443</v>
      </c>
      <c r="K68">
        <v>2595.1176759999998</v>
      </c>
      <c r="L68">
        <v>9880.8085599999995</v>
      </c>
      <c r="M68">
        <v>0.28702100000000003</v>
      </c>
      <c r="N68">
        <v>9882.1728039999998</v>
      </c>
      <c r="O68">
        <v>0.28726499999999999</v>
      </c>
      <c r="P68">
        <v>53513116.067119002</v>
      </c>
    </row>
    <row r="69" spans="9:16" x14ac:dyDescent="0.2">
      <c r="I69">
        <v>3</v>
      </c>
      <c r="J69">
        <v>23</v>
      </c>
      <c r="K69">
        <v>8.8103899999999999</v>
      </c>
      <c r="L69">
        <v>34543.133447</v>
      </c>
      <c r="M69">
        <v>0.54830400000000001</v>
      </c>
      <c r="N69">
        <v>35369.810834999997</v>
      </c>
      <c r="O69">
        <v>0.56142599999999998</v>
      </c>
      <c r="P69">
        <v>63000</v>
      </c>
    </row>
    <row r="70" spans="9:16" x14ac:dyDescent="0.2">
      <c r="I70">
        <v>10</v>
      </c>
      <c r="J70">
        <v>22</v>
      </c>
      <c r="K70">
        <v>2.9437530000000001</v>
      </c>
      <c r="L70">
        <v>48569.666717</v>
      </c>
      <c r="M70">
        <v>0.68677900000000003</v>
      </c>
      <c r="N70">
        <v>43549.301325</v>
      </c>
      <c r="O70">
        <v>0.61604300000000001</v>
      </c>
      <c r="P70">
        <v>71527.932153999995</v>
      </c>
    </row>
    <row r="71" spans="9:16" x14ac:dyDescent="0.2">
      <c r="I71">
        <v>11</v>
      </c>
      <c r="J71">
        <v>19</v>
      </c>
      <c r="K71">
        <v>3.7475019999999999</v>
      </c>
      <c r="L71">
        <v>51739.782329000001</v>
      </c>
      <c r="M71">
        <v>0.79089200000000004</v>
      </c>
      <c r="N71">
        <v>36421.510125000001</v>
      </c>
      <c r="O71">
        <v>0.54902099999999998</v>
      </c>
      <c r="P71">
        <v>67416.022658000002</v>
      </c>
    </row>
    <row r="72" spans="9:16" x14ac:dyDescent="0.2">
      <c r="I72">
        <v>12</v>
      </c>
      <c r="J72">
        <v>10</v>
      </c>
      <c r="K72">
        <v>3.6724670000000001</v>
      </c>
      <c r="L72">
        <v>43130.764528</v>
      </c>
      <c r="M72">
        <v>0.82943800000000001</v>
      </c>
      <c r="N72">
        <v>38376.889319000002</v>
      </c>
      <c r="O72">
        <v>0.73801700000000003</v>
      </c>
      <c r="P72">
        <v>52000</v>
      </c>
    </row>
    <row r="73" spans="9:16" x14ac:dyDescent="0.2">
      <c r="I73">
        <v>20</v>
      </c>
      <c r="J73">
        <v>24</v>
      </c>
      <c r="K73">
        <v>3.5887739999999999</v>
      </c>
      <c r="L73">
        <v>10191.20909</v>
      </c>
      <c r="M73">
        <v>0.37696800000000003</v>
      </c>
      <c r="N73">
        <v>14624.287496000001</v>
      </c>
      <c r="O73">
        <v>0.53876900000000005</v>
      </c>
      <c r="P73">
        <v>30077.774827000001</v>
      </c>
    </row>
    <row r="74" spans="9:16" x14ac:dyDescent="0.2">
      <c r="I74">
        <v>21</v>
      </c>
      <c r="J74">
        <v>9</v>
      </c>
      <c r="K74">
        <v>1.656779</v>
      </c>
      <c r="L74">
        <v>19705.504937000002</v>
      </c>
      <c r="M74">
        <v>0.49875399999999998</v>
      </c>
      <c r="N74">
        <v>32909.761159000001</v>
      </c>
      <c r="O74">
        <v>0.81343100000000002</v>
      </c>
      <c r="P74">
        <v>40153.474710000002</v>
      </c>
    </row>
    <row r="75" spans="9:16" x14ac:dyDescent="0.2">
      <c r="I75">
        <v>22</v>
      </c>
      <c r="J75">
        <v>7</v>
      </c>
      <c r="K75">
        <v>4.5500590000000001</v>
      </c>
      <c r="L75">
        <v>3422.985936</v>
      </c>
      <c r="M75">
        <v>7.1312E-2</v>
      </c>
      <c r="N75">
        <v>29280.435260999999</v>
      </c>
      <c r="O75">
        <v>0.61000900000000002</v>
      </c>
      <c r="P75">
        <v>48000</v>
      </c>
    </row>
    <row r="76" spans="9:16" x14ac:dyDescent="0.2">
      <c r="I76">
        <v>30</v>
      </c>
      <c r="J76">
        <v>8</v>
      </c>
      <c r="K76">
        <v>4.7623350000000002</v>
      </c>
      <c r="L76">
        <v>7953.4397959999997</v>
      </c>
      <c r="M76">
        <v>0.39767200000000003</v>
      </c>
      <c r="N76">
        <v>11353.471777000001</v>
      </c>
      <c r="O76">
        <v>0.56767400000000001</v>
      </c>
      <c r="P76">
        <v>20000</v>
      </c>
    </row>
    <row r="77" spans="9:16" x14ac:dyDescent="0.2">
      <c r="I77">
        <v>40</v>
      </c>
      <c r="J77">
        <v>16</v>
      </c>
      <c r="K77">
        <v>2.622163</v>
      </c>
      <c r="L77">
        <v>18690.363361</v>
      </c>
      <c r="M77">
        <v>0.36055500000000001</v>
      </c>
      <c r="N77">
        <v>19520.728606000001</v>
      </c>
      <c r="O77">
        <v>0.37417099999999998</v>
      </c>
      <c r="P77">
        <v>52374.061632999998</v>
      </c>
    </row>
    <row r="78" spans="9:16" x14ac:dyDescent="0.2">
      <c r="I78">
        <v>41</v>
      </c>
      <c r="J78">
        <v>22</v>
      </c>
      <c r="K78">
        <v>7.6927479999999999</v>
      </c>
      <c r="L78">
        <v>10619.426258</v>
      </c>
      <c r="M78">
        <v>0.39512199999999997</v>
      </c>
      <c r="N78">
        <v>7095.4716669999998</v>
      </c>
      <c r="O78">
        <v>0.26486300000000002</v>
      </c>
      <c r="P78">
        <v>27719.856715000002</v>
      </c>
    </row>
  </sheetData>
  <pageMargins left="0.7" right="0.7" top="0.75" bottom="0.75" header="0.3" footer="0.3"/>
  <pageSetup paperSize="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55"/>
  <sheetViews>
    <sheetView zoomScale="75" workbookViewId="0">
      <selection activeCell="D12" sqref="D12"/>
    </sheetView>
  </sheetViews>
  <sheetFormatPr defaultRowHeight="12.75" x14ac:dyDescent="0.2"/>
  <cols>
    <col min="1" max="1" width="9.28515625" style="3" bestFit="1" customWidth="1"/>
    <col min="2" max="2" width="16.28515625" style="4" bestFit="1" customWidth="1"/>
    <col min="3" max="3" width="14.42578125" style="486" customWidth="1"/>
    <col min="4" max="4" width="14.42578125" style="4" customWidth="1"/>
    <col min="5" max="5" width="3.28515625" customWidth="1"/>
    <col min="6" max="6" width="15" style="259" customWidth="1"/>
    <col min="7" max="7" width="15" style="477" customWidth="1"/>
    <col min="8" max="8" width="18.5703125" style="259" customWidth="1"/>
    <col min="9" max="9" width="24.28515625" style="259" customWidth="1"/>
    <col min="10" max="10" width="23.28515625" style="259" customWidth="1"/>
    <col min="11" max="11" width="23.28515625" style="3" customWidth="1"/>
    <col min="12" max="12" width="18.5703125" style="3" customWidth="1"/>
    <col min="13" max="13" width="2.85546875" style="3" customWidth="1"/>
    <col min="14" max="14" width="17.28515625" style="3" bestFit="1" customWidth="1"/>
    <col min="15" max="15" width="18" style="3" customWidth="1"/>
    <col min="16" max="16" width="17.85546875" style="3" customWidth="1"/>
    <col min="18" max="18" width="15.140625" customWidth="1"/>
    <col min="20" max="20" width="12.85546875" customWidth="1"/>
    <col min="21" max="21" width="11" bestFit="1" customWidth="1"/>
  </cols>
  <sheetData>
    <row r="1" spans="1:21" ht="15.75" x14ac:dyDescent="0.25">
      <c r="A1" s="1022"/>
      <c r="B1" s="1022"/>
      <c r="C1" s="1022"/>
      <c r="D1" s="1022"/>
      <c r="E1" s="1022"/>
      <c r="F1" s="1022"/>
      <c r="G1" s="1022"/>
      <c r="H1" s="1022"/>
      <c r="I1" s="1022"/>
      <c r="J1" s="1022"/>
      <c r="K1" s="1022"/>
      <c r="L1" s="1022"/>
      <c r="M1" s="1022"/>
      <c r="N1" s="1022"/>
      <c r="O1" s="1022"/>
      <c r="P1" s="1022"/>
    </row>
    <row r="2" spans="1:21" ht="15.75" x14ac:dyDescent="0.25">
      <c r="A2" s="1023" t="s">
        <v>214</v>
      </c>
      <c r="B2" s="1023"/>
      <c r="C2" s="1023"/>
      <c r="D2" s="1023"/>
      <c r="E2" s="1023"/>
      <c r="F2" s="1023"/>
      <c r="G2" s="1023"/>
      <c r="H2" s="1023"/>
      <c r="I2" s="1023"/>
      <c r="J2" s="1023"/>
      <c r="K2" s="1023"/>
      <c r="L2" s="1023"/>
      <c r="M2" s="1023"/>
      <c r="N2" s="1023"/>
      <c r="O2" s="1023"/>
      <c r="P2" s="1023"/>
    </row>
    <row r="3" spans="1:21" ht="15.75" x14ac:dyDescent="0.25">
      <c r="A3" s="1023" t="s">
        <v>213</v>
      </c>
      <c r="B3" s="1023"/>
      <c r="C3" s="1023"/>
      <c r="D3" s="1023"/>
      <c r="E3" s="1023"/>
      <c r="F3" s="1023"/>
      <c r="G3" s="1023"/>
      <c r="H3" s="1023"/>
      <c r="I3" s="1023"/>
      <c r="J3" s="1023"/>
      <c r="K3" s="1023"/>
      <c r="L3" s="1023"/>
      <c r="M3" s="1023"/>
      <c r="N3" s="1023"/>
      <c r="O3" s="1023"/>
      <c r="P3" s="1023"/>
    </row>
    <row r="4" spans="1:21" x14ac:dyDescent="0.2">
      <c r="B4" s="5"/>
      <c r="C4" s="5"/>
      <c r="D4" s="5"/>
      <c r="E4" s="2"/>
      <c r="N4" s="1021" t="s">
        <v>463</v>
      </c>
      <c r="O4" s="1021"/>
      <c r="P4" s="1021"/>
      <c r="R4" s="1" t="s">
        <v>15</v>
      </c>
    </row>
    <row r="5" spans="1:21" ht="39" customHeight="1" x14ac:dyDescent="0.2">
      <c r="B5" s="6" t="s">
        <v>8</v>
      </c>
      <c r="C5" s="6" t="s">
        <v>67</v>
      </c>
      <c r="D5" s="355" t="s">
        <v>10</v>
      </c>
      <c r="E5" s="356"/>
      <c r="F5" s="357" t="s">
        <v>1</v>
      </c>
      <c r="G5" s="478" t="s">
        <v>2</v>
      </c>
      <c r="H5" s="357" t="s">
        <v>96</v>
      </c>
      <c r="I5" s="357" t="s">
        <v>47</v>
      </c>
      <c r="J5" s="357" t="s">
        <v>48</v>
      </c>
      <c r="K5" s="357" t="s">
        <v>63</v>
      </c>
      <c r="L5" s="357" t="s">
        <v>49</v>
      </c>
      <c r="M5" s="357"/>
      <c r="N5" s="357" t="s">
        <v>0</v>
      </c>
      <c r="O5" s="357" t="s">
        <v>12</v>
      </c>
      <c r="P5" s="357" t="s">
        <v>11</v>
      </c>
      <c r="R5" s="7" t="s">
        <v>14</v>
      </c>
    </row>
    <row r="6" spans="1:21" s="131" customFormat="1" ht="22.5" x14ac:dyDescent="0.2">
      <c r="A6" s="130"/>
      <c r="B6" s="132" t="s">
        <v>8</v>
      </c>
      <c r="C6" s="483" t="s">
        <v>67</v>
      </c>
      <c r="D6" s="132" t="s">
        <v>10</v>
      </c>
      <c r="F6" s="483" t="s">
        <v>1</v>
      </c>
      <c r="G6" s="479" t="s">
        <v>2</v>
      </c>
      <c r="H6" s="373" t="s">
        <v>96</v>
      </c>
      <c r="I6" s="373" t="s">
        <v>47</v>
      </c>
      <c r="J6" s="373" t="s">
        <v>48</v>
      </c>
      <c r="K6" s="133" t="s">
        <v>63</v>
      </c>
      <c r="L6" s="133" t="s">
        <v>49</v>
      </c>
      <c r="M6" s="130"/>
      <c r="N6" s="132" t="s">
        <v>0</v>
      </c>
      <c r="O6" s="132" t="s">
        <v>12</v>
      </c>
      <c r="P6" s="132" t="s">
        <v>11</v>
      </c>
      <c r="Q6" s="130"/>
      <c r="T6" s="131" t="s">
        <v>513</v>
      </c>
    </row>
    <row r="7" spans="1:21" x14ac:dyDescent="0.2">
      <c r="A7" s="259">
        <v>2016</v>
      </c>
      <c r="B7" s="52">
        <f>'Project Budget'!F21/2</f>
        <v>9100595.5</v>
      </c>
      <c r="C7" s="484">
        <v>0</v>
      </c>
      <c r="D7" s="53">
        <f>C7+B7</f>
        <v>9100595.5</v>
      </c>
      <c r="E7" s="20"/>
      <c r="F7" s="491">
        <v>0</v>
      </c>
      <c r="G7" s="480">
        <v>0</v>
      </c>
      <c r="H7" s="491">
        <v>0</v>
      </c>
      <c r="I7" s="491" t="e">
        <f>0.25*(Input!$B$96*Input!$B$98*Input!$B$99)</f>
        <v>#REF!</v>
      </c>
      <c r="J7" s="491">
        <v>0</v>
      </c>
      <c r="K7" s="54">
        <v>0</v>
      </c>
      <c r="L7" s="54">
        <v>0</v>
      </c>
      <c r="M7" s="55"/>
      <c r="N7" s="52">
        <f t="shared" ref="N7:N31" si="0">+$R7*D7</f>
        <v>9100595.5</v>
      </c>
      <c r="O7" s="52" t="e">
        <f>+$R7*(F7+G7+I7+J7+K7+L7)</f>
        <v>#REF!</v>
      </c>
      <c r="P7" s="480" t="e">
        <f>+O7-N7</f>
        <v>#REF!</v>
      </c>
      <c r="Q7" s="56"/>
      <c r="R7" s="57">
        <f t="shared" ref="R7:R31" si="1">1/(1+$P$36)^(A7-2016)</f>
        <v>1</v>
      </c>
      <c r="T7" s="393">
        <f>Input!B$96/4</f>
        <v>97.727613844445116</v>
      </c>
      <c r="U7" s="9" t="s">
        <v>451</v>
      </c>
    </row>
    <row r="8" spans="1:21" s="252" customFormat="1" x14ac:dyDescent="0.2">
      <c r="A8" s="496">
        <v>2017</v>
      </c>
      <c r="B8" s="52">
        <f>'Project Budget'!F21/2</f>
        <v>9100595.5</v>
      </c>
      <c r="C8" s="485">
        <v>0</v>
      </c>
      <c r="D8" s="247">
        <f>C8+B8</f>
        <v>9100595.5</v>
      </c>
      <c r="E8" s="248"/>
      <c r="F8" s="492">
        <v>0</v>
      </c>
      <c r="G8" s="481">
        <v>0</v>
      </c>
      <c r="H8" s="492">
        <v>0</v>
      </c>
      <c r="I8" s="492" t="e">
        <f>0.25*(Input!$B$96*Input!$B$98*Input!$B$99)</f>
        <v>#REF!</v>
      </c>
      <c r="J8" s="492">
        <v>0</v>
      </c>
      <c r="K8" s="249">
        <v>0</v>
      </c>
      <c r="L8" s="249">
        <v>0</v>
      </c>
      <c r="M8" s="250"/>
      <c r="N8" s="246">
        <f t="shared" si="0"/>
        <v>8835529.6116504855</v>
      </c>
      <c r="O8" s="246" t="e">
        <f>+$R8*(F8+G8+I8+J8+K8+L8)</f>
        <v>#REF!</v>
      </c>
      <c r="P8" s="480" t="e">
        <f>+O8-N8</f>
        <v>#REF!</v>
      </c>
      <c r="Q8" s="251"/>
      <c r="R8" s="392">
        <f>1/(1+$P$36)^(A8-2016)</f>
        <v>0.970873786407767</v>
      </c>
      <c r="T8" s="395">
        <f>T7*2</f>
        <v>195.45522768889023</v>
      </c>
      <c r="U8" s="9" t="s">
        <v>451</v>
      </c>
    </row>
    <row r="9" spans="1:21" x14ac:dyDescent="0.2">
      <c r="A9" s="259">
        <v>2018</v>
      </c>
      <c r="B9" s="52">
        <f>'Project Budget'!H$35/2</f>
        <v>23455404.5</v>
      </c>
      <c r="C9" s="484">
        <v>0</v>
      </c>
      <c r="D9" s="53">
        <f>C9+B9</f>
        <v>23455404.5</v>
      </c>
      <c r="E9" s="20"/>
      <c r="F9" s="491">
        <v>0</v>
      </c>
      <c r="G9" s="480">
        <v>0</v>
      </c>
      <c r="H9" s="491">
        <v>0</v>
      </c>
      <c r="I9" s="491" t="e">
        <f>0.25*(Input!$B$96*Input!$B$98*Input!$B$99)</f>
        <v>#REF!</v>
      </c>
      <c r="J9" s="491">
        <v>0</v>
      </c>
      <c r="K9" s="54">
        <v>0</v>
      </c>
      <c r="L9" s="54">
        <v>0</v>
      </c>
      <c r="M9" s="55"/>
      <c r="N9" s="52">
        <f t="shared" si="0"/>
        <v>22108968.328777451</v>
      </c>
      <c r="O9" s="52" t="e">
        <f>+$R9*(F9+G9+I9+J9+K9+L9)</f>
        <v>#REF!</v>
      </c>
      <c r="P9" s="480" t="e">
        <f t="shared" ref="P9:P24" si="2">+O9-N9</f>
        <v>#REF!</v>
      </c>
      <c r="Q9" s="56"/>
      <c r="R9" s="392">
        <f>1/(1+$P$36)^(A9-2016)</f>
        <v>0.94259590913375435</v>
      </c>
      <c r="T9" s="395">
        <f>T8*2</f>
        <v>390.91045537778047</v>
      </c>
      <c r="U9" s="9" t="s">
        <v>451</v>
      </c>
    </row>
    <row r="10" spans="1:21" x14ac:dyDescent="0.2">
      <c r="A10" s="259">
        <v>2019</v>
      </c>
      <c r="B10" s="52">
        <f>'Project Budget'!H$35/2</f>
        <v>23455404.5</v>
      </c>
      <c r="C10" s="484">
        <v>0</v>
      </c>
      <c r="D10" s="53">
        <f>C10+B10</f>
        <v>23455404.5</v>
      </c>
      <c r="E10" s="20"/>
      <c r="F10" s="491">
        <v>0</v>
      </c>
      <c r="G10" s="480">
        <v>0</v>
      </c>
      <c r="H10" s="491">
        <v>0</v>
      </c>
      <c r="I10" s="491" t="e">
        <f>0.25*(Input!$B$96*Input!$B$98*Input!$B$99)</f>
        <v>#REF!</v>
      </c>
      <c r="J10" s="491">
        <v>0</v>
      </c>
      <c r="K10" s="54">
        <v>0</v>
      </c>
      <c r="L10" s="54">
        <v>0</v>
      </c>
      <c r="M10" s="55"/>
      <c r="N10" s="52">
        <f t="shared" si="0"/>
        <v>21465017.794929568</v>
      </c>
      <c r="O10" s="52" t="e">
        <f>+$R10*(F10+G10+I10+J10+K10+L10)</f>
        <v>#REF!</v>
      </c>
      <c r="P10" s="480" t="e">
        <f t="shared" si="2"/>
        <v>#REF!</v>
      </c>
      <c r="Q10" s="56"/>
      <c r="R10" s="392">
        <f>1/(1+$P$36)^(A10-2016)</f>
        <v>0.91514165935315961</v>
      </c>
      <c r="T10" s="395">
        <f>T9*2</f>
        <v>781.82091075556093</v>
      </c>
      <c r="U10" s="9" t="s">
        <v>451</v>
      </c>
    </row>
    <row r="11" spans="1:21" x14ac:dyDescent="0.2">
      <c r="A11" s="3">
        <v>2020</v>
      </c>
      <c r="B11" s="52">
        <v>0</v>
      </c>
      <c r="C11" s="484">
        <f>Input!$B$10</f>
        <v>165856</v>
      </c>
      <c r="D11" s="53">
        <f t="shared" ref="D11:D31" si="3">C11+B11</f>
        <v>165856</v>
      </c>
      <c r="E11" s="20"/>
      <c r="F11" s="491">
        <f>(Input!$B$43)+(Input!$B$52-Input!$B$43)*((A11-2020)/20)</f>
        <v>3843107.1539984066</v>
      </c>
      <c r="G11" s="495">
        <f>(Input!$B$68)+(Input!$B$69-Input!$B$68)*((A11-2020)/20)</f>
        <v>-405.52725632099902</v>
      </c>
      <c r="H11" s="491">
        <f>Input!B92</f>
        <v>476224.64032306767</v>
      </c>
      <c r="I11" s="491" t="e">
        <f>0.05*(Input!$B$103*Input!$B$104*Input!$B$105)</f>
        <v>#REF!</v>
      </c>
      <c r="J11" s="491">
        <f>'Property Taxes'!E22</f>
        <v>2626520.9449495589</v>
      </c>
      <c r="K11" s="495">
        <f>(Input!$B$122*Input!$B$123)-(Input!$B$122*Input!$B$123)*0.25*((2030-A11)/20)</f>
        <v>-18.381909175174506</v>
      </c>
      <c r="L11" s="54">
        <v>0</v>
      </c>
      <c r="M11" s="55"/>
      <c r="N11" s="52">
        <f t="shared" si="0"/>
        <v>147360.90781910453</v>
      </c>
      <c r="O11" s="52" t="e">
        <f>+$R11*(F11+G11+I11+J11+K11+L11+H11)</f>
        <v>#REF!</v>
      </c>
      <c r="P11" s="52" t="e">
        <f t="shared" si="2"/>
        <v>#REF!</v>
      </c>
      <c r="Q11" s="56"/>
      <c r="R11" s="57">
        <f t="shared" si="1"/>
        <v>0.888487047915689</v>
      </c>
      <c r="T11" s="393">
        <f>0.05*Input!B$103</f>
        <v>529.125</v>
      </c>
      <c r="U11" s="394" t="s">
        <v>514</v>
      </c>
    </row>
    <row r="12" spans="1:21" x14ac:dyDescent="0.2">
      <c r="A12" s="259">
        <v>2021</v>
      </c>
      <c r="B12" s="52">
        <v>0</v>
      </c>
      <c r="C12" s="484">
        <f>C11</f>
        <v>165856</v>
      </c>
      <c r="D12" s="53">
        <f t="shared" si="3"/>
        <v>165856</v>
      </c>
      <c r="E12" s="20"/>
      <c r="F12" s="491">
        <f>(Input!$B$43)+(Input!$B$52-Input!$B$43)*((A12-2020)/20)</f>
        <v>3971210.7257983536</v>
      </c>
      <c r="G12" s="495">
        <f>(Input!$B$68)+(Input!$B$69-Input!$B$68)*((A12-2020)/20)</f>
        <v>-419.02668153169896</v>
      </c>
      <c r="H12" s="491">
        <f>H11*1.029</f>
        <v>490035.15489243658</v>
      </c>
      <c r="I12" s="491" t="e">
        <f>0.1*(Input!$B$103*Input!$B$104*Input!$B$105)</f>
        <v>#REF!</v>
      </c>
      <c r="J12" s="491">
        <f>'Property Taxes'!E23</f>
        <v>2933548.3410173845</v>
      </c>
      <c r="K12" s="495">
        <f>(Input!$B$122*Input!$B$123)-(Input!$B$122*Input!$B$123)*0.25*((2030-A12)/10)</f>
        <v>-16.281119555154561</v>
      </c>
      <c r="L12" s="54">
        <v>0</v>
      </c>
      <c r="M12" s="55"/>
      <c r="N12" s="52">
        <f t="shared" si="0"/>
        <v>143068.84254281991</v>
      </c>
      <c r="O12" s="52" t="e">
        <f>+$R12*(F12+G12+I12+J12+K12+L12+H12)</f>
        <v>#REF!</v>
      </c>
      <c r="P12" s="52" t="e">
        <f t="shared" si="2"/>
        <v>#REF!</v>
      </c>
      <c r="Q12" s="56"/>
      <c r="R12" s="57">
        <f t="shared" si="1"/>
        <v>0.86260878438416411</v>
      </c>
      <c r="T12" s="393">
        <f>0.1*Input!B$103</f>
        <v>1058.25</v>
      </c>
      <c r="U12" s="394" t="s">
        <v>514</v>
      </c>
    </row>
    <row r="13" spans="1:21" x14ac:dyDescent="0.2">
      <c r="A13" s="3">
        <v>2022</v>
      </c>
      <c r="B13" s="52">
        <v>0</v>
      </c>
      <c r="C13" s="484">
        <f t="shared" ref="C13:C31" si="4">C12</f>
        <v>165856</v>
      </c>
      <c r="D13" s="53">
        <f t="shared" si="3"/>
        <v>165856</v>
      </c>
      <c r="E13" s="20"/>
      <c r="F13" s="491">
        <f>(Input!$B$43)+(Input!$B$52-Input!$B$43)*((A13-2020)/20)</f>
        <v>4099314.2975983005</v>
      </c>
      <c r="G13" s="495">
        <f>(Input!$B$68)+(Input!$B$69-Input!$B$68)*((A13-2020)/20)</f>
        <v>-432.52610674239889</v>
      </c>
      <c r="H13" s="491">
        <f t="shared" ref="H13:H31" si="5">H12*1.029</f>
        <v>504246.17438431719</v>
      </c>
      <c r="I13" s="491" t="e">
        <f>0.15*(Input!$B$103*Input!$B$104*Input!$B$105)</f>
        <v>#REF!</v>
      </c>
      <c r="J13" s="491">
        <f>'Property Taxes'!E24</f>
        <v>3253457.9510900546</v>
      </c>
      <c r="K13" s="495">
        <f>(Input!$B$122*Input!$B$123)-(Input!$B$122*Input!$B$123)*0.25*((2030-A13)/10)</f>
        <v>-16.806316960159549</v>
      </c>
      <c r="L13" s="54">
        <v>0</v>
      </c>
      <c r="M13" s="55"/>
      <c r="N13" s="52">
        <f t="shared" si="0"/>
        <v>138901.7888765242</v>
      </c>
      <c r="O13" s="52" t="e">
        <f t="shared" ref="O13:O30" si="6">+$R13*(F13+G13+I13+J13+K13+L13+H13)</f>
        <v>#REF!</v>
      </c>
      <c r="P13" s="52" t="e">
        <f t="shared" si="2"/>
        <v>#REF!</v>
      </c>
      <c r="Q13" s="56"/>
      <c r="R13" s="57">
        <f t="shared" si="1"/>
        <v>0.83748425668365445</v>
      </c>
      <c r="T13" s="393">
        <f>0.15*Input!B$103</f>
        <v>1587.375</v>
      </c>
      <c r="U13" s="394" t="s">
        <v>514</v>
      </c>
    </row>
    <row r="14" spans="1:21" x14ac:dyDescent="0.2">
      <c r="A14" s="259">
        <v>2023</v>
      </c>
      <c r="B14" s="52">
        <v>0</v>
      </c>
      <c r="C14" s="484">
        <f t="shared" si="4"/>
        <v>165856</v>
      </c>
      <c r="D14" s="53">
        <f t="shared" si="3"/>
        <v>165856</v>
      </c>
      <c r="E14" s="20"/>
      <c r="F14" s="491">
        <f>(Input!$B$43)+(Input!$B$52-Input!$B$43)*((A14-2020)/20)</f>
        <v>4227417.8693982475</v>
      </c>
      <c r="G14" s="495">
        <f>(Input!$B$68)+(Input!$B$69-Input!$B$68)*((A14-2020)/20)</f>
        <v>-446.02553195309883</v>
      </c>
      <c r="H14" s="491">
        <f t="shared" si="5"/>
        <v>518869.31344146235</v>
      </c>
      <c r="I14" s="491" t="e">
        <f>0.2*(Input!$B$103*Input!$B$104*Input!$B$105)</f>
        <v>#REF!</v>
      </c>
      <c r="J14" s="491">
        <f>'Property Taxes'!E25</f>
        <v>3587169.9333107732</v>
      </c>
      <c r="K14" s="495">
        <f>(Input!$B$122*Input!$B$123)-(Input!$B$122*Input!$B$123)*0.25*((2030-A14)/10)</f>
        <v>-17.331514365164537</v>
      </c>
      <c r="L14" s="54">
        <v>0</v>
      </c>
      <c r="M14" s="55"/>
      <c r="N14" s="52">
        <f t="shared" si="0"/>
        <v>134856.1057053633</v>
      </c>
      <c r="O14" s="52" t="e">
        <f t="shared" si="6"/>
        <v>#REF!</v>
      </c>
      <c r="P14" s="52" t="e">
        <f t="shared" si="2"/>
        <v>#REF!</v>
      </c>
      <c r="Q14" s="56"/>
      <c r="R14" s="57">
        <f t="shared" si="1"/>
        <v>0.81309151134335378</v>
      </c>
      <c r="T14" s="393">
        <f>0.2*Input!B$103</f>
        <v>2116.5</v>
      </c>
      <c r="U14" s="394" t="s">
        <v>514</v>
      </c>
    </row>
    <row r="15" spans="1:21" x14ac:dyDescent="0.2">
      <c r="A15" s="3">
        <v>2024</v>
      </c>
      <c r="B15" s="52">
        <v>0</v>
      </c>
      <c r="C15" s="484">
        <f t="shared" si="4"/>
        <v>165856</v>
      </c>
      <c r="D15" s="53">
        <f t="shared" si="3"/>
        <v>165856</v>
      </c>
      <c r="E15" s="20"/>
      <c r="F15" s="491">
        <f>(Input!$B$43)+(Input!$B$52-Input!$B$43)*((A15-2020)/20)</f>
        <v>4355521.4411981944</v>
      </c>
      <c r="G15" s="495">
        <f>(Input!$B$68)+(Input!$B$69-Input!$B$68)*((A15-2020)/20)</f>
        <v>-459.52495716379883</v>
      </c>
      <c r="H15" s="491">
        <f t="shared" si="5"/>
        <v>533916.52353126474</v>
      </c>
      <c r="I15" s="491" t="e">
        <f>0.25*(Input!$B$103*Input!$B$104*Input!$B$105)</f>
        <v>#REF!</v>
      </c>
      <c r="J15" s="491">
        <f>'Property Taxes'!E26</f>
        <v>3935670.1714043999</v>
      </c>
      <c r="K15" s="495">
        <f>(Input!$B$122*Input!$B$123)-(Input!$B$122*Input!$B$123)*0.25*((2030-A15)/10)</f>
        <v>-17.856711770169522</v>
      </c>
      <c r="L15" s="54">
        <v>0</v>
      </c>
      <c r="M15" s="55"/>
      <c r="N15" s="52">
        <f t="shared" si="0"/>
        <v>130928.25796637213</v>
      </c>
      <c r="O15" s="52" t="e">
        <f t="shared" si="6"/>
        <v>#REF!</v>
      </c>
      <c r="P15" s="52" t="e">
        <f t="shared" si="2"/>
        <v>#REF!</v>
      </c>
      <c r="Q15" s="56"/>
      <c r="R15" s="57">
        <f t="shared" si="1"/>
        <v>0.78940923431393573</v>
      </c>
      <c r="T15" s="393">
        <f>0.25*Input!B$103</f>
        <v>2645.625</v>
      </c>
      <c r="U15" s="394" t="s">
        <v>514</v>
      </c>
    </row>
    <row r="16" spans="1:21" x14ac:dyDescent="0.2">
      <c r="A16" s="259">
        <v>2025</v>
      </c>
      <c r="B16" s="52">
        <v>0</v>
      </c>
      <c r="C16" s="484">
        <f t="shared" si="4"/>
        <v>165856</v>
      </c>
      <c r="D16" s="53">
        <f t="shared" si="3"/>
        <v>165856</v>
      </c>
      <c r="E16" s="20"/>
      <c r="F16" s="491">
        <f>(Input!$B$43)+(Input!$B$52-Input!$B$43)*((A16-2020)/20)</f>
        <v>4483625.0129981413</v>
      </c>
      <c r="G16" s="495">
        <f>(Input!$B$68)+(Input!$B$69-Input!$B$68)*((A16-2020)/20)</f>
        <v>-473.02438237449877</v>
      </c>
      <c r="H16" s="491">
        <f t="shared" si="5"/>
        <v>549400.1027136714</v>
      </c>
      <c r="I16" s="491" t="e">
        <f>0.3*(Input!$B$103*Input!$B$104*Input!$B$105)</f>
        <v>#REF!</v>
      </c>
      <c r="J16" s="491">
        <f>'Property Taxes'!E27</f>
        <v>4300014.9693618566</v>
      </c>
      <c r="K16" s="495">
        <f>(Input!$B$122*Input!$B$123)-(Input!$B$122*Input!$B$123)*0.25*((2030-A16)/10)</f>
        <v>-18.381909175174506</v>
      </c>
      <c r="L16" s="54">
        <v>0</v>
      </c>
      <c r="M16" s="55"/>
      <c r="N16" s="52">
        <f t="shared" si="0"/>
        <v>127114.8135595846</v>
      </c>
      <c r="O16" s="52" t="e">
        <f t="shared" si="6"/>
        <v>#REF!</v>
      </c>
      <c r="P16" s="52" t="e">
        <f t="shared" si="2"/>
        <v>#REF!</v>
      </c>
      <c r="Q16" s="56"/>
      <c r="R16" s="57">
        <f t="shared" si="1"/>
        <v>0.76641673234362695</v>
      </c>
      <c r="T16" s="393">
        <f>0.3*Input!B$103</f>
        <v>3174.75</v>
      </c>
      <c r="U16" s="394" t="s">
        <v>514</v>
      </c>
    </row>
    <row r="17" spans="1:21" x14ac:dyDescent="0.2">
      <c r="A17" s="3">
        <v>2026</v>
      </c>
      <c r="B17" s="52">
        <v>0</v>
      </c>
      <c r="C17" s="484">
        <f t="shared" si="4"/>
        <v>165856</v>
      </c>
      <c r="D17" s="53">
        <f t="shared" si="3"/>
        <v>165856</v>
      </c>
      <c r="E17" s="20"/>
      <c r="F17" s="491">
        <f>(Input!$B$43)+(Input!$B$52-Input!$B$43)*((A17-2020)/20)</f>
        <v>4611728.5847980874</v>
      </c>
      <c r="G17" s="495">
        <f>(Input!$B$68)+(Input!$B$69-Input!$B$68)*((A17-2020)/20)</f>
        <v>-486.52380758519871</v>
      </c>
      <c r="H17" s="491">
        <f t="shared" si="5"/>
        <v>565332.70569236786</v>
      </c>
      <c r="I17" s="491" t="e">
        <f>0.35*(Input!$B$103*Input!$B$104*Input!$B$105)</f>
        <v>#REF!</v>
      </c>
      <c r="J17" s="491">
        <f>'Property Taxes'!E28</f>
        <v>4661418.4814591315</v>
      </c>
      <c r="K17" s="495">
        <f>(Input!$B$122*Input!$B$123)-(Input!$B$122*Input!$B$123)*0.25*((2030-A17)/10)</f>
        <v>-18.907106580179494</v>
      </c>
      <c r="L17" s="54">
        <v>0</v>
      </c>
      <c r="M17" s="55"/>
      <c r="N17" s="52">
        <f t="shared" si="0"/>
        <v>123412.44034911125</v>
      </c>
      <c r="O17" s="52" t="e">
        <f t="shared" si="6"/>
        <v>#REF!</v>
      </c>
      <c r="P17" s="52" t="e">
        <f t="shared" si="2"/>
        <v>#REF!</v>
      </c>
      <c r="Q17" s="56"/>
      <c r="R17" s="57">
        <f t="shared" si="1"/>
        <v>0.74409391489672516</v>
      </c>
      <c r="T17" s="393">
        <f>0.35*Input!B$103</f>
        <v>3703.8749999999995</v>
      </c>
      <c r="U17" s="394" t="s">
        <v>514</v>
      </c>
    </row>
    <row r="18" spans="1:21" x14ac:dyDescent="0.2">
      <c r="A18" s="259">
        <v>2027</v>
      </c>
      <c r="B18" s="52">
        <v>0</v>
      </c>
      <c r="C18" s="484">
        <f t="shared" si="4"/>
        <v>165856</v>
      </c>
      <c r="D18" s="53">
        <f t="shared" si="3"/>
        <v>165856</v>
      </c>
      <c r="E18" s="20"/>
      <c r="F18" s="491">
        <f>(Input!$B$43)+(Input!$B$52-Input!$B$43)*((A18-2020)/20)</f>
        <v>4739832.1565980343</v>
      </c>
      <c r="G18" s="495">
        <f>(Input!$B$68)+(Input!$B$69-Input!$B$68)*((A18-2020)/20)</f>
        <v>-500.02323279589865</v>
      </c>
      <c r="H18" s="491">
        <f t="shared" si="5"/>
        <v>581727.35415744653</v>
      </c>
      <c r="I18" s="491" t="e">
        <f>0.4*(Input!$B$103*Input!$B$104*Input!$B$105)</f>
        <v>#REF!</v>
      </c>
      <c r="J18" s="491">
        <f>'Property Taxes'!E29</f>
        <v>5041010.9015633557</v>
      </c>
      <c r="K18" s="495">
        <f>(Input!$B$122*Input!$B$123)-(Input!$B$122*Input!$B$123)*0.25*((2030-A18)/10)</f>
        <v>-19.432303985184479</v>
      </c>
      <c r="L18" s="54">
        <v>0</v>
      </c>
      <c r="M18" s="55"/>
      <c r="N18" s="52">
        <f t="shared" si="0"/>
        <v>119817.90325156432</v>
      </c>
      <c r="O18" s="52" t="e">
        <f t="shared" si="6"/>
        <v>#REF!</v>
      </c>
      <c r="P18" s="52" t="e">
        <f t="shared" si="2"/>
        <v>#REF!</v>
      </c>
      <c r="Q18" s="56"/>
      <c r="R18" s="57">
        <f t="shared" si="1"/>
        <v>0.72242127659876232</v>
      </c>
      <c r="T18" s="393">
        <f>0.4*Input!B$103</f>
        <v>4233</v>
      </c>
      <c r="U18" s="394" t="s">
        <v>514</v>
      </c>
    </row>
    <row r="19" spans="1:21" x14ac:dyDescent="0.2">
      <c r="A19" s="3">
        <v>2028</v>
      </c>
      <c r="B19" s="52">
        <v>0</v>
      </c>
      <c r="C19" s="484">
        <f t="shared" si="4"/>
        <v>165856</v>
      </c>
      <c r="D19" s="53">
        <f t="shared" si="3"/>
        <v>165856</v>
      </c>
      <c r="E19" s="20"/>
      <c r="F19" s="491">
        <f>(Input!$B$43)+(Input!$B$52-Input!$B$43)*((A19-2020)/20)</f>
        <v>4867935.7283979813</v>
      </c>
      <c r="G19" s="495">
        <f>(Input!$B$68)+(Input!$B$69-Input!$B$68)*((A19-2020)/20)</f>
        <v>-513.52265800659859</v>
      </c>
      <c r="H19" s="491">
        <f t="shared" si="5"/>
        <v>598597.44742801238</v>
      </c>
      <c r="I19" s="491" t="e">
        <f>0.45*(Input!$B$103*Input!$B$104*Input!$B$105)</f>
        <v>#REF!</v>
      </c>
      <c r="J19" s="491">
        <f>'Property Taxes'!E30</f>
        <v>5440091.4373893104</v>
      </c>
      <c r="K19" s="495">
        <f>(Input!$B$122*Input!$B$123)-(Input!$B$122*Input!$B$123)*0.25*((2030-A19)/10)</f>
        <v>-19.957501390189464</v>
      </c>
      <c r="L19" s="54">
        <v>0</v>
      </c>
      <c r="M19" s="55"/>
      <c r="N19" s="52">
        <f t="shared" si="0"/>
        <v>116328.06140928577</v>
      </c>
      <c r="O19" s="52" t="e">
        <f t="shared" si="6"/>
        <v>#REF!</v>
      </c>
      <c r="P19" s="52" t="e">
        <f t="shared" si="2"/>
        <v>#REF!</v>
      </c>
      <c r="Q19" s="56"/>
      <c r="R19" s="57">
        <f t="shared" si="1"/>
        <v>0.70137988019297326</v>
      </c>
      <c r="T19" s="393">
        <f>0.45*Input!B$103</f>
        <v>4762.125</v>
      </c>
      <c r="U19" s="394" t="s">
        <v>514</v>
      </c>
    </row>
    <row r="20" spans="1:21" x14ac:dyDescent="0.2">
      <c r="A20" s="259">
        <v>2029</v>
      </c>
      <c r="B20" s="52">
        <v>0</v>
      </c>
      <c r="C20" s="484">
        <f t="shared" si="4"/>
        <v>165856</v>
      </c>
      <c r="D20" s="53">
        <f t="shared" si="3"/>
        <v>165856</v>
      </c>
      <c r="E20" s="20"/>
      <c r="F20" s="491">
        <f>(Input!$B$43)+(Input!$B$52-Input!$B$43)*((A20-2020)/20)</f>
        <v>4996039.3001979282</v>
      </c>
      <c r="G20" s="495">
        <f>(Input!$B$68)+(Input!$B$69-Input!$B$68)*((A20-2020)/20)</f>
        <v>-527.02208321729859</v>
      </c>
      <c r="H20" s="491">
        <f t="shared" si="5"/>
        <v>615956.77340342465</v>
      </c>
      <c r="I20" s="491" t="e">
        <f>0.5*(Input!$B$103*Input!$B$104*Input!$B$105)</f>
        <v>#REF!</v>
      </c>
      <c r="J20" s="491">
        <f>'Property Taxes'!E31</f>
        <v>5860052.0972028319</v>
      </c>
      <c r="K20" s="495">
        <f>(Input!$B$122*Input!$B$123)-(Input!$B$122*Input!$B$123)*0.25*((2030-A20)/10)</f>
        <v>-20.482698795194452</v>
      </c>
      <c r="L20" s="54">
        <v>0</v>
      </c>
      <c r="M20" s="55"/>
      <c r="N20" s="52">
        <f t="shared" si="0"/>
        <v>112939.86544590852</v>
      </c>
      <c r="O20" s="52" t="e">
        <f t="shared" si="6"/>
        <v>#REF!</v>
      </c>
      <c r="P20" s="52" t="e">
        <f t="shared" si="2"/>
        <v>#REF!</v>
      </c>
      <c r="Q20" s="56"/>
      <c r="R20" s="57">
        <f t="shared" si="1"/>
        <v>0.68095133999317792</v>
      </c>
      <c r="T20" s="393">
        <f>0.5*Input!B$103</f>
        <v>5291.25</v>
      </c>
      <c r="U20" s="394" t="s">
        <v>514</v>
      </c>
    </row>
    <row r="21" spans="1:21" x14ac:dyDescent="0.2">
      <c r="A21" s="3">
        <v>2030</v>
      </c>
      <c r="B21" s="52">
        <v>0</v>
      </c>
      <c r="C21" s="484">
        <f t="shared" si="4"/>
        <v>165856</v>
      </c>
      <c r="D21" s="53">
        <f t="shared" si="3"/>
        <v>165856</v>
      </c>
      <c r="E21" s="20"/>
      <c r="F21" s="491">
        <f>(Input!$B$43)+(Input!$B$52-Input!$B$43)*((A21-2020)/20)</f>
        <v>5124142.8719978752</v>
      </c>
      <c r="G21" s="495">
        <f>(Input!$B$68)+(Input!$B$69-Input!$B$68)*((A21-2020)/20)</f>
        <v>-540.52150842799847</v>
      </c>
      <c r="H21" s="491">
        <f t="shared" si="5"/>
        <v>633819.51983212389</v>
      </c>
      <c r="I21" s="491" t="e">
        <f>0.55*(Input!$B$103*Input!$B$104*Input!$B$105)</f>
        <v>#REF!</v>
      </c>
      <c r="J21" s="491">
        <f>'Property Taxes'!E32</f>
        <v>6302384.3184316056</v>
      </c>
      <c r="K21" s="495">
        <f>(Input!$B$122*Input!$B$123)-(Input!$B$122*Input!$B$123)*0.25*((2030-A21)/10)</f>
        <v>-21.007896200199436</v>
      </c>
      <c r="L21" s="54">
        <v>0</v>
      </c>
      <c r="M21" s="55"/>
      <c r="N21" s="52">
        <f t="shared" si="0"/>
        <v>109650.35480185291</v>
      </c>
      <c r="O21" s="52" t="e">
        <f t="shared" si="6"/>
        <v>#REF!</v>
      </c>
      <c r="P21" s="52" t="e">
        <f t="shared" si="2"/>
        <v>#REF!</v>
      </c>
      <c r="Q21" s="56"/>
      <c r="R21" s="57">
        <f t="shared" si="1"/>
        <v>0.66111780581861923</v>
      </c>
      <c r="T21" s="393">
        <f>0.55*Input!B$103</f>
        <v>5820.3750000000009</v>
      </c>
      <c r="U21" s="394" t="s">
        <v>514</v>
      </c>
    </row>
    <row r="22" spans="1:21" x14ac:dyDescent="0.2">
      <c r="A22" s="259">
        <v>2031</v>
      </c>
      <c r="B22" s="52">
        <v>0</v>
      </c>
      <c r="C22" s="484">
        <f t="shared" si="4"/>
        <v>165856</v>
      </c>
      <c r="D22" s="53">
        <f t="shared" si="3"/>
        <v>165856</v>
      </c>
      <c r="E22" s="20"/>
      <c r="F22" s="491">
        <f>(Input!$B$43)+(Input!$B$52-Input!$B$43)*((A22-2020)/20)</f>
        <v>5252246.4437978221</v>
      </c>
      <c r="G22" s="495">
        <f>(Input!$B$68)+(Input!$B$69-Input!$B$68)*((A22-2020)/20)</f>
        <v>-554.02093363869847</v>
      </c>
      <c r="H22" s="491">
        <f t="shared" si="5"/>
        <v>652200.28590725537</v>
      </c>
      <c r="I22" s="491" t="e">
        <f>0.6*(Input!$B$103*Input!$B$104*Input!$B$105)</f>
        <v>#REF!</v>
      </c>
      <c r="J22" s="491">
        <f>'Property Taxes'!E33</f>
        <v>6768686.0697481493</v>
      </c>
      <c r="K22" s="495">
        <f>(Input!$B$122*Input!$B$123)-(Input!$B$122*Input!$B$123)*0.25*((2030-A22)/10)</f>
        <v>-21.533093605204421</v>
      </c>
      <c r="L22" s="54">
        <v>0</v>
      </c>
      <c r="M22" s="55"/>
      <c r="N22" s="52">
        <f t="shared" si="0"/>
        <v>106456.65514743001</v>
      </c>
      <c r="O22" s="52" t="e">
        <f t="shared" si="6"/>
        <v>#REF!</v>
      </c>
      <c r="P22" s="52" t="e">
        <f t="shared" si="2"/>
        <v>#REF!</v>
      </c>
      <c r="Q22" s="56"/>
      <c r="R22" s="57">
        <f t="shared" si="1"/>
        <v>0.64186194739671765</v>
      </c>
      <c r="T22" s="393">
        <f>0.6*Input!B$103</f>
        <v>6349.5</v>
      </c>
      <c r="U22" s="394" t="s">
        <v>514</v>
      </c>
    </row>
    <row r="23" spans="1:21" x14ac:dyDescent="0.2">
      <c r="A23" s="3">
        <v>2032</v>
      </c>
      <c r="B23" s="52">
        <v>0</v>
      </c>
      <c r="C23" s="484">
        <f t="shared" si="4"/>
        <v>165856</v>
      </c>
      <c r="D23" s="53">
        <f t="shared" si="3"/>
        <v>165856</v>
      </c>
      <c r="E23" s="20"/>
      <c r="F23" s="491">
        <f>(Input!$B$43)+(Input!$B$52-Input!$B$43)*((A23-2020)/20)</f>
        <v>5380350.0155977691</v>
      </c>
      <c r="G23" s="495">
        <f>(Input!$B$68)+(Input!$B$69-Input!$B$68)*((A23-2020)/20)</f>
        <v>-567.52035884939835</v>
      </c>
      <c r="H23" s="491">
        <f t="shared" si="5"/>
        <v>671114.0941985657</v>
      </c>
      <c r="I23" s="491" t="e">
        <f>0.65*(Input!$B$103*Input!$B$104*Input!$B$105)</f>
        <v>#REF!</v>
      </c>
      <c r="J23" s="491">
        <f>'Property Taxes'!E34</f>
        <v>7260669.4604444448</v>
      </c>
      <c r="K23" s="495">
        <f>(Input!$B$122*Input!$B$123)-(Input!$B$122*Input!$B$123)*0.25*((2030-A23)/10)</f>
        <v>-22.058291010209409</v>
      </c>
      <c r="L23" s="54">
        <v>0</v>
      </c>
      <c r="M23" s="55"/>
      <c r="N23" s="52">
        <f t="shared" si="0"/>
        <v>103355.97587129129</v>
      </c>
      <c r="O23" s="52" t="e">
        <f t="shared" si="6"/>
        <v>#REF!</v>
      </c>
      <c r="P23" s="52" t="e">
        <f t="shared" si="2"/>
        <v>#REF!</v>
      </c>
      <c r="Q23" s="56"/>
      <c r="R23" s="57">
        <f t="shared" si="1"/>
        <v>0.62316693922011435</v>
      </c>
      <c r="T23" s="393">
        <f>0.65*Input!B$103</f>
        <v>6878.625</v>
      </c>
      <c r="U23" s="394" t="s">
        <v>514</v>
      </c>
    </row>
    <row r="24" spans="1:21" x14ac:dyDescent="0.2">
      <c r="A24" s="259">
        <v>2033</v>
      </c>
      <c r="B24" s="52">
        <v>0</v>
      </c>
      <c r="C24" s="484">
        <f t="shared" si="4"/>
        <v>165856</v>
      </c>
      <c r="D24" s="53">
        <f t="shared" si="3"/>
        <v>165856</v>
      </c>
      <c r="E24" s="20"/>
      <c r="F24" s="491">
        <f>(Input!$B$43)+(Input!$B$52-Input!$B$43)*((A24-2020)/20)</f>
        <v>5508453.587397716</v>
      </c>
      <c r="G24" s="495">
        <f>(Input!$B$68)+(Input!$B$69-Input!$B$68)*((A24-2020)/20)</f>
        <v>-581.01978406009835</v>
      </c>
      <c r="H24" s="491">
        <f t="shared" si="5"/>
        <v>690576.40293032408</v>
      </c>
      <c r="I24" s="491" t="e">
        <f>0.7*(Input!$B$103*Input!$B$104*Input!$B$105)</f>
        <v>#REF!</v>
      </c>
      <c r="J24" s="491">
        <f>'Property Taxes'!E35</f>
        <v>7780168.8933333335</v>
      </c>
      <c r="K24" s="495">
        <f>(Input!$B$122*Input!$B$123)-(Input!$B$122*Input!$B$123)*0.25*((2030-A24)/10)</f>
        <v>-22.583488415214394</v>
      </c>
      <c r="L24" s="54">
        <v>0</v>
      </c>
      <c r="M24" s="55"/>
      <c r="N24" s="52">
        <f t="shared" si="0"/>
        <v>100345.60764203037</v>
      </c>
      <c r="O24" s="52" t="e">
        <f t="shared" si="6"/>
        <v>#REF!</v>
      </c>
      <c r="P24" s="52" t="e">
        <f t="shared" si="2"/>
        <v>#REF!</v>
      </c>
      <c r="Q24" s="56"/>
      <c r="R24" s="57">
        <f t="shared" si="1"/>
        <v>0.60501644584477121</v>
      </c>
      <c r="T24" s="393">
        <f>0.7*Input!B$103</f>
        <v>7407.7499999999991</v>
      </c>
      <c r="U24" s="394" t="s">
        <v>514</v>
      </c>
    </row>
    <row r="25" spans="1:21" x14ac:dyDescent="0.2">
      <c r="A25" s="3">
        <v>2034</v>
      </c>
      <c r="B25" s="52">
        <v>0</v>
      </c>
      <c r="C25" s="484">
        <f t="shared" si="4"/>
        <v>165856</v>
      </c>
      <c r="D25" s="53">
        <f t="shared" si="3"/>
        <v>165856</v>
      </c>
      <c r="E25" s="20"/>
      <c r="F25" s="491">
        <f>(Input!$B$43)+(Input!$B$52-Input!$B$43)*((A25-2020)/20)</f>
        <v>5636557.159197662</v>
      </c>
      <c r="G25" s="495">
        <f>(Input!$B$68)+(Input!$B$69-Input!$B$68)*((A25-2020)/20)</f>
        <v>-594.51920927079823</v>
      </c>
      <c r="H25" s="491">
        <f t="shared" si="5"/>
        <v>710603.11861530342</v>
      </c>
      <c r="I25" s="491" t="e">
        <f>0.75*(Input!$B$103*Input!$B$104*Input!$B$105)</f>
        <v>#REF!</v>
      </c>
      <c r="J25" s="491">
        <f>'Property Taxes'!E36</f>
        <v>8329149.8000000007</v>
      </c>
      <c r="K25" s="495">
        <f>(Input!$B$122*Input!$B$123)-(Input!$B$122*Input!$B$123)*0.25*((2030-A25)/10)</f>
        <v>-23.108685820219378</v>
      </c>
      <c r="L25" s="54">
        <v>0</v>
      </c>
      <c r="M25" s="55"/>
      <c r="N25" s="52">
        <f t="shared" si="0"/>
        <v>97422.920040806188</v>
      </c>
      <c r="O25" s="52" t="e">
        <f t="shared" si="6"/>
        <v>#REF!</v>
      </c>
      <c r="P25" s="52" t="e">
        <f t="shared" ref="P25:P31" si="7">+O25-N25</f>
        <v>#REF!</v>
      </c>
      <c r="Q25" s="56"/>
      <c r="R25" s="57">
        <f t="shared" si="1"/>
        <v>0.5873946076162827</v>
      </c>
      <c r="T25" s="393">
        <f>0.75*Input!B$103</f>
        <v>7936.875</v>
      </c>
      <c r="U25" s="394" t="s">
        <v>514</v>
      </c>
    </row>
    <row r="26" spans="1:21" x14ac:dyDescent="0.2">
      <c r="A26" s="259">
        <v>2035</v>
      </c>
      <c r="B26" s="52">
        <v>0</v>
      </c>
      <c r="C26" s="484">
        <f t="shared" si="4"/>
        <v>165856</v>
      </c>
      <c r="D26" s="53">
        <f t="shared" si="3"/>
        <v>165856</v>
      </c>
      <c r="E26" s="20"/>
      <c r="F26" s="491">
        <f>(Input!$B$43)+(Input!$B$52-Input!$B$43)*((A26-2020)/20)</f>
        <v>5764660.730997609</v>
      </c>
      <c r="G26" s="495">
        <f>(Input!$B$68)+(Input!$B$69-Input!$B$68)*((A26-2020)/20)</f>
        <v>-608.01863448149822</v>
      </c>
      <c r="H26" s="491">
        <f t="shared" si="5"/>
        <v>731210.60905514716</v>
      </c>
      <c r="I26" s="491" t="e">
        <f>0.8*(Input!$B$103*Input!$B$104*Input!$B$105)</f>
        <v>#REF!</v>
      </c>
      <c r="J26" s="491">
        <f>'Property Taxes'!E37</f>
        <v>8909718</v>
      </c>
      <c r="K26" s="495">
        <f>(Input!$B$122*Input!$B$123)-(Input!$B$122*Input!$B$123)*0.25*((2030-A26)/10)</f>
        <v>-23.633883225224366</v>
      </c>
      <c r="L26" s="54">
        <v>0</v>
      </c>
      <c r="M26" s="55"/>
      <c r="N26" s="52">
        <f t="shared" si="0"/>
        <v>94585.359262918631</v>
      </c>
      <c r="O26" s="52" t="e">
        <f t="shared" si="6"/>
        <v>#REF!</v>
      </c>
      <c r="P26" s="52" t="e">
        <f t="shared" si="7"/>
        <v>#REF!</v>
      </c>
      <c r="Q26" s="56"/>
      <c r="R26" s="57">
        <f t="shared" si="1"/>
        <v>0.57028602681192497</v>
      </c>
      <c r="T26" s="393">
        <f>0.8*Input!B$103</f>
        <v>8466</v>
      </c>
      <c r="U26" s="394" t="s">
        <v>514</v>
      </c>
    </row>
    <row r="27" spans="1:21" x14ac:dyDescent="0.2">
      <c r="A27" s="3">
        <v>2036</v>
      </c>
      <c r="B27" s="52">
        <v>0</v>
      </c>
      <c r="C27" s="484">
        <f t="shared" si="4"/>
        <v>165856</v>
      </c>
      <c r="D27" s="53">
        <f t="shared" si="3"/>
        <v>165856</v>
      </c>
      <c r="E27" s="20"/>
      <c r="F27" s="491">
        <f>(Input!$B$43)+(Input!$B$52-Input!$B$43)*((A27-2020)/20)</f>
        <v>5892764.3027975559</v>
      </c>
      <c r="G27" s="495">
        <f>(Input!$B$68)+(Input!$B$69-Input!$B$68)*((A27-2020)/20)</f>
        <v>-621.51805969219822</v>
      </c>
      <c r="H27" s="491">
        <f t="shared" si="5"/>
        <v>752415.71671774634</v>
      </c>
      <c r="I27" s="491" t="e">
        <f>0.85*(Input!$B$103*Input!$B$104*Input!$B$105)</f>
        <v>#REF!</v>
      </c>
      <c r="J27" s="491">
        <f>'Property Taxes'!E38</f>
        <v>8909719</v>
      </c>
      <c r="K27" s="495">
        <f>(Input!$B$122*Input!$B$123)-(Input!$B$122*Input!$B$123)*0.25*((2030-A27)/10)</f>
        <v>-24.159080630229351</v>
      </c>
      <c r="L27" s="54">
        <v>0</v>
      </c>
      <c r="M27" s="55"/>
      <c r="N27" s="52">
        <f t="shared" si="0"/>
        <v>91830.445886328773</v>
      </c>
      <c r="O27" s="52" t="e">
        <f t="shared" si="6"/>
        <v>#REF!</v>
      </c>
      <c r="P27" s="52" t="e">
        <f t="shared" si="7"/>
        <v>#REF!</v>
      </c>
      <c r="Q27" s="56"/>
      <c r="R27" s="57">
        <f t="shared" si="1"/>
        <v>0.55367575418633497</v>
      </c>
      <c r="T27" s="393">
        <f>0.85*Input!B$103</f>
        <v>8995.125</v>
      </c>
      <c r="U27" s="394" t="s">
        <v>514</v>
      </c>
    </row>
    <row r="28" spans="1:21" x14ac:dyDescent="0.2">
      <c r="A28" s="259">
        <v>2037</v>
      </c>
      <c r="B28" s="52">
        <v>0</v>
      </c>
      <c r="C28" s="484">
        <f t="shared" si="4"/>
        <v>165856</v>
      </c>
      <c r="D28" s="53">
        <f t="shared" si="3"/>
        <v>165856</v>
      </c>
      <c r="E28" s="20"/>
      <c r="F28" s="491">
        <f>(Input!$B$43)+(Input!$B$52-Input!$B$43)*((A28-2020)/20)</f>
        <v>6020867.8745975029</v>
      </c>
      <c r="G28" s="495">
        <f>(Input!$B$68)+(Input!$B$69-Input!$B$68)*((A28-2020)/20)</f>
        <v>-635.0174849028981</v>
      </c>
      <c r="H28" s="491">
        <f t="shared" si="5"/>
        <v>774235.77250256087</v>
      </c>
      <c r="I28" s="491" t="e">
        <f>0.9*(Input!$B$103*Input!$B$104*Input!$B$105)</f>
        <v>#REF!</v>
      </c>
      <c r="J28" s="491">
        <f>'Property Taxes'!E39</f>
        <v>8909720</v>
      </c>
      <c r="K28" s="495">
        <f>(Input!$B$122*Input!$B$123)-(Input!$B$122*Input!$B$123)*0.25*((2030-A28)/10)</f>
        <v>-24.684278035234335</v>
      </c>
      <c r="L28" s="54">
        <v>0</v>
      </c>
      <c r="M28" s="55"/>
      <c r="N28" s="52">
        <f t="shared" si="0"/>
        <v>89155.772705173571</v>
      </c>
      <c r="O28" s="52" t="e">
        <f t="shared" si="6"/>
        <v>#REF!</v>
      </c>
      <c r="P28" s="52" t="e">
        <f t="shared" si="7"/>
        <v>#REF!</v>
      </c>
      <c r="Q28" s="56"/>
      <c r="R28" s="57">
        <f t="shared" si="1"/>
        <v>0.5375492759090631</v>
      </c>
      <c r="T28" s="393">
        <f>0.9*Input!B$103</f>
        <v>9524.25</v>
      </c>
      <c r="U28" s="394" t="s">
        <v>514</v>
      </c>
    </row>
    <row r="29" spans="1:21" x14ac:dyDescent="0.2">
      <c r="A29" s="3">
        <v>2038</v>
      </c>
      <c r="B29" s="52">
        <v>0</v>
      </c>
      <c r="C29" s="484">
        <f t="shared" si="4"/>
        <v>165856</v>
      </c>
      <c r="D29" s="53">
        <f t="shared" si="3"/>
        <v>165856</v>
      </c>
      <c r="E29" s="20"/>
      <c r="F29" s="491">
        <f>(Input!$B$43)+(Input!$B$52-Input!$B$43)*((A29-2020)/20)</f>
        <v>6148971.4463974498</v>
      </c>
      <c r="G29" s="495">
        <f>(Input!$B$68)+(Input!$B$69-Input!$B$68)*((A29-2020)/20)</f>
        <v>-648.5169101135981</v>
      </c>
      <c r="H29" s="491">
        <f t="shared" si="5"/>
        <v>796688.60990513512</v>
      </c>
      <c r="I29" s="491" t="e">
        <f>0.95*(Input!$B$103*Input!$B$104*Input!$B$105)</f>
        <v>#REF!</v>
      </c>
      <c r="J29" s="491">
        <f>'Property Taxes'!E40</f>
        <v>8909721</v>
      </c>
      <c r="K29" s="495">
        <f>(Input!$B$122*Input!$B$123)-(Input!$B$122*Input!$B$123)*0.25*((2030-A29)/10)</f>
        <v>-25.209475440239324</v>
      </c>
      <c r="L29" s="54">
        <v>0</v>
      </c>
      <c r="M29" s="55"/>
      <c r="N29" s="52">
        <f t="shared" si="0"/>
        <v>86559.002626382106</v>
      </c>
      <c r="O29" s="52" t="e">
        <f t="shared" si="6"/>
        <v>#REF!</v>
      </c>
      <c r="P29" s="52" t="e">
        <f t="shared" si="7"/>
        <v>#REF!</v>
      </c>
      <c r="Q29" s="56"/>
      <c r="R29" s="57">
        <f t="shared" si="1"/>
        <v>0.52189250088258554</v>
      </c>
      <c r="T29" s="393">
        <f>0.95*Input!B$103</f>
        <v>10053.375</v>
      </c>
      <c r="U29" s="394" t="s">
        <v>514</v>
      </c>
    </row>
    <row r="30" spans="1:21" x14ac:dyDescent="0.2">
      <c r="A30" s="259">
        <v>2039</v>
      </c>
      <c r="B30" s="52">
        <v>0</v>
      </c>
      <c r="C30" s="484">
        <f t="shared" si="4"/>
        <v>165856</v>
      </c>
      <c r="D30" s="53">
        <f t="shared" si="3"/>
        <v>165856</v>
      </c>
      <c r="E30" s="20"/>
      <c r="F30" s="491">
        <f>(Input!$B$43)+(Input!$B$52-Input!$B$43)*((A30-2020)/20)</f>
        <v>6277075.0181973968</v>
      </c>
      <c r="G30" s="495">
        <f>(Input!$B$68)+(Input!$B$69-Input!$B$68)*((A30-2020)/20)</f>
        <v>-662.0163353242981</v>
      </c>
      <c r="H30" s="491">
        <f t="shared" si="5"/>
        <v>819792.57959238393</v>
      </c>
      <c r="I30" s="491" t="e">
        <f>1*(Input!$B$103*Input!$B$104*Input!$B$105)</f>
        <v>#REF!</v>
      </c>
      <c r="J30" s="491">
        <f>'Property Taxes'!E41</f>
        <v>8909722</v>
      </c>
      <c r="K30" s="495">
        <f>(Input!$B$122*Input!$B$123)-(Input!$B$122*Input!$B$123)*0.25*((2030-A30)/10)</f>
        <v>-25.734672845244312</v>
      </c>
      <c r="L30" s="54">
        <v>0</v>
      </c>
      <c r="M30" s="55"/>
      <c r="N30" s="52">
        <f t="shared" si="0"/>
        <v>84037.866627555442</v>
      </c>
      <c r="O30" s="52" t="e">
        <f t="shared" si="6"/>
        <v>#REF!</v>
      </c>
      <c r="P30" s="52" t="e">
        <f t="shared" si="7"/>
        <v>#REF!</v>
      </c>
      <c r="Q30" s="56"/>
      <c r="R30" s="57">
        <f t="shared" si="1"/>
        <v>0.50669174842969467</v>
      </c>
      <c r="T30" s="393">
        <f>1*Input!B$103</f>
        <v>10582.5</v>
      </c>
      <c r="U30" s="394" t="s">
        <v>514</v>
      </c>
    </row>
    <row r="31" spans="1:21" x14ac:dyDescent="0.2">
      <c r="A31" s="3">
        <v>2040</v>
      </c>
      <c r="B31" s="52">
        <v>0</v>
      </c>
      <c r="C31" s="484">
        <f t="shared" si="4"/>
        <v>165856</v>
      </c>
      <c r="D31" s="53">
        <f t="shared" si="3"/>
        <v>165856</v>
      </c>
      <c r="E31" s="20"/>
      <c r="F31" s="491">
        <f>(Input!$B$43)+(Input!$B$52-Input!$B$43)*((A31-2020)/20)</f>
        <v>6405178.5899973437</v>
      </c>
      <c r="G31" s="495">
        <f>(Input!$B$68)+(Input!$B$69-Input!$B$68)*((A31-2020)/20)</f>
        <v>-675.51576053499798</v>
      </c>
      <c r="H31" s="491">
        <f t="shared" si="5"/>
        <v>843566.56440056302</v>
      </c>
      <c r="I31" s="491" t="e">
        <f>1*(Input!$B$103*Input!$B$104*Input!$B$105)</f>
        <v>#REF!</v>
      </c>
      <c r="J31" s="491">
        <f>'Property Taxes'!E42</f>
        <v>8909723</v>
      </c>
      <c r="K31" s="495">
        <f>(Input!$B$122*Input!$B$123)-(Input!$B$122*Input!$B$123)*0.25*((2030-A31)/10)</f>
        <v>-26.259870250249296</v>
      </c>
      <c r="L31" s="54">
        <f>P42*Q42+P43*Q43+P44*Q44</f>
        <v>28967000</v>
      </c>
      <c r="M31" s="55"/>
      <c r="N31" s="52">
        <f t="shared" si="0"/>
        <v>81590.161774325679</v>
      </c>
      <c r="O31" s="52" t="e">
        <f>+$R31*(F31+G31+I31+J31+K31+L31+H31)</f>
        <v>#REF!</v>
      </c>
      <c r="P31" s="52" t="e">
        <f t="shared" si="7"/>
        <v>#REF!</v>
      </c>
      <c r="Q31" s="56"/>
      <c r="R31" s="57">
        <f t="shared" si="1"/>
        <v>0.49193373633950943</v>
      </c>
      <c r="T31" s="393">
        <f>T30</f>
        <v>10582.5</v>
      </c>
      <c r="U31" s="394" t="s">
        <v>514</v>
      </c>
    </row>
    <row r="32" spans="1:21" x14ac:dyDescent="0.2">
      <c r="F32" s="486"/>
      <c r="H32" s="486"/>
      <c r="I32" s="491"/>
      <c r="J32" s="486"/>
      <c r="K32" s="495"/>
      <c r="L32" s="4"/>
    </row>
    <row r="33" spans="1:21" x14ac:dyDescent="0.2">
      <c r="A33" s="3" t="s">
        <v>9</v>
      </c>
      <c r="B33" s="4">
        <f>SUM(B7:B31)</f>
        <v>65112000</v>
      </c>
      <c r="C33" s="486">
        <f>SUM(C7:C31)</f>
        <v>3482976</v>
      </c>
      <c r="D33" s="4">
        <f>SUM(D7:D31)</f>
        <v>68594976</v>
      </c>
      <c r="F33" s="486">
        <f t="shared" ref="F33:L33" si="8">SUM(F7:F31)</f>
        <v>107607000.31195539</v>
      </c>
      <c r="G33" s="495">
        <f t="shared" si="8"/>
        <v>-11350.95167698797</v>
      </c>
      <c r="H33" s="486">
        <f t="shared" si="8"/>
        <v>13510529.46362458</v>
      </c>
      <c r="I33" s="486" t="e">
        <f t="shared" si="8"/>
        <v>#REF!</v>
      </c>
      <c r="J33" s="486">
        <f t="shared" si="8"/>
        <v>131538336.77070619</v>
      </c>
      <c r="K33" s="495">
        <f t="shared" si="8"/>
        <v>-443.79180722921313</v>
      </c>
      <c r="L33" s="4">
        <f t="shared" si="8"/>
        <v>28967000</v>
      </c>
      <c r="N33" s="4">
        <f>SUM(N7:N31)</f>
        <v>63849830.344669268</v>
      </c>
      <c r="O33" s="4" t="e">
        <f>SUM(O7:O31)</f>
        <v>#REF!</v>
      </c>
      <c r="P33" s="4" t="e">
        <f>SUM(P7:P31)</f>
        <v>#REF!</v>
      </c>
      <c r="T33" s="391">
        <f>SUM(T7:T32)</f>
        <v>123164.66420766668</v>
      </c>
      <c r="U33" s="391"/>
    </row>
    <row r="34" spans="1:21" x14ac:dyDescent="0.2">
      <c r="G34" s="495"/>
      <c r="K34" s="480"/>
      <c r="L34" s="28"/>
      <c r="T34" s="295"/>
    </row>
    <row r="35" spans="1:21" s="100" customFormat="1" ht="13.5" thickBot="1" x14ac:dyDescent="0.25">
      <c r="A35" s="475" t="s">
        <v>34</v>
      </c>
      <c r="B35" s="476">
        <f>NPV($P$36,B8:B31)+B7</f>
        <v>61510111.235357508</v>
      </c>
      <c r="C35" s="476">
        <f>NPV($P$36,C8:C31)+C7</f>
        <v>2339719.1093117325</v>
      </c>
      <c r="D35" s="476">
        <f>NPV($P$36,D8:D31)+D7</f>
        <v>63849830.344669268</v>
      </c>
      <c r="E35" s="476"/>
      <c r="F35" s="476">
        <f t="shared" ref="F35:L35" si="9">NPV($P$36,F8:F31)+F7</f>
        <v>70339792.399058118</v>
      </c>
      <c r="G35" s="495">
        <f t="shared" si="9"/>
        <v>-7420.0176129090669</v>
      </c>
      <c r="H35" s="476">
        <f t="shared" si="9"/>
        <v>8799768.9890378583</v>
      </c>
      <c r="I35" s="494" t="e">
        <f t="shared" si="9"/>
        <v>#REF!</v>
      </c>
      <c r="J35" s="494">
        <f t="shared" si="9"/>
        <v>82810663.716855362</v>
      </c>
      <c r="K35" s="495">
        <f t="shared" si="9"/>
        <v>-290.71134755468279</v>
      </c>
      <c r="L35" s="99">
        <f t="shared" si="9"/>
        <v>14249844.540546551</v>
      </c>
      <c r="M35" s="475"/>
      <c r="N35" s="99"/>
      <c r="O35" s="99"/>
      <c r="P35" s="99"/>
    </row>
    <row r="36" spans="1:21" x14ac:dyDescent="0.2">
      <c r="G36" s="482"/>
      <c r="H36" s="456"/>
      <c r="I36" s="456"/>
      <c r="J36" s="456"/>
      <c r="K36" s="495"/>
      <c r="L36" s="18"/>
      <c r="O36" s="22" t="s">
        <v>13</v>
      </c>
      <c r="P36" s="23">
        <v>0.03</v>
      </c>
    </row>
    <row r="37" spans="1:21" x14ac:dyDescent="0.2">
      <c r="G37" s="482"/>
      <c r="H37" s="456"/>
      <c r="I37" s="456"/>
      <c r="J37" s="456"/>
      <c r="K37" s="495"/>
      <c r="L37" s="18"/>
      <c r="O37" s="24" t="s">
        <v>4</v>
      </c>
      <c r="P37" s="25" t="e">
        <f>+P33</f>
        <v>#REF!</v>
      </c>
    </row>
    <row r="38" spans="1:21" ht="13.5" thickBot="1" x14ac:dyDescent="0.25">
      <c r="A38" s="10"/>
      <c r="G38" s="482"/>
      <c r="H38" s="456"/>
      <c r="I38" s="456"/>
      <c r="J38" s="456"/>
      <c r="K38" s="495"/>
      <c r="L38" s="18"/>
      <c r="O38" s="26" t="s">
        <v>5</v>
      </c>
      <c r="P38" s="27" t="e">
        <f>+O33/N33</f>
        <v>#REF!</v>
      </c>
    </row>
    <row r="39" spans="1:21" x14ac:dyDescent="0.2">
      <c r="G39" s="482"/>
      <c r="H39" s="456"/>
      <c r="I39" s="456"/>
      <c r="J39" s="456"/>
      <c r="K39" s="495"/>
      <c r="L39" s="18"/>
      <c r="O39" s="7"/>
      <c r="P39" s="7"/>
    </row>
    <row r="40" spans="1:21" x14ac:dyDescent="0.2">
      <c r="B40" s="10"/>
      <c r="C40" s="487"/>
      <c r="F40" s="493"/>
      <c r="G40" s="477" t="e">
        <f>F35+G35+I35+J35+K35+L35</f>
        <v>#REF!</v>
      </c>
      <c r="H40" s="493"/>
      <c r="I40" s="493"/>
      <c r="K40" s="495"/>
      <c r="N40" s="17" t="s">
        <v>28</v>
      </c>
      <c r="O40"/>
      <c r="P40" s="7" t="s">
        <v>29</v>
      </c>
    </row>
    <row r="41" spans="1:21" ht="13.5" thickBot="1" x14ac:dyDescent="0.25">
      <c r="B41" s="10"/>
      <c r="C41" s="487"/>
      <c r="K41" s="495"/>
      <c r="N41"/>
      <c r="O41"/>
    </row>
    <row r="42" spans="1:21" x14ac:dyDescent="0.2">
      <c r="B42" s="10"/>
      <c r="C42" s="488"/>
      <c r="K42" s="495"/>
      <c r="N42" t="s">
        <v>31</v>
      </c>
      <c r="O42"/>
      <c r="P42" s="14">
        <f>Input!B128</f>
        <v>6689000</v>
      </c>
      <c r="Q42" s="11">
        <v>1</v>
      </c>
      <c r="R42" s="226">
        <f>Q42*P42</f>
        <v>6689000</v>
      </c>
    </row>
    <row r="43" spans="1:21" x14ac:dyDescent="0.2">
      <c r="B43" s="8"/>
      <c r="C43" s="488"/>
      <c r="K43" s="495"/>
      <c r="N43" t="s">
        <v>30</v>
      </c>
      <c r="O43"/>
      <c r="P43" s="15">
        <f>Input!B129</f>
        <v>24000000</v>
      </c>
      <c r="Q43" s="11">
        <v>0.5</v>
      </c>
      <c r="R43" s="226">
        <f>Q43*P43</f>
        <v>12000000</v>
      </c>
    </row>
    <row r="44" spans="1:21" ht="13.5" thickBot="1" x14ac:dyDescent="0.25">
      <c r="B44" s="8"/>
      <c r="C44" s="488"/>
      <c r="K44" s="495"/>
      <c r="N44" t="s">
        <v>24</v>
      </c>
      <c r="O44"/>
      <c r="P44" s="16">
        <f>Input!B130</f>
        <v>41112000</v>
      </c>
      <c r="Q44" s="11">
        <v>0.25</v>
      </c>
      <c r="R44" s="226">
        <f>Q44*P44</f>
        <v>10278000</v>
      </c>
    </row>
    <row r="45" spans="1:21" x14ac:dyDescent="0.2">
      <c r="K45" s="495"/>
      <c r="N45" t="s">
        <v>9</v>
      </c>
      <c r="O45"/>
      <c r="P45" s="12">
        <f>SUM(P42:P44)</f>
        <v>71801000</v>
      </c>
      <c r="Q45" s="12"/>
      <c r="R45" s="12">
        <f>SUM(R42:R44)</f>
        <v>28967000</v>
      </c>
    </row>
    <row r="46" spans="1:21" x14ac:dyDescent="0.2">
      <c r="K46" s="495"/>
      <c r="N46"/>
      <c r="O46"/>
      <c r="P46" s="13"/>
    </row>
    <row r="47" spans="1:21" x14ac:dyDescent="0.2">
      <c r="B47" s="58"/>
      <c r="C47" s="489"/>
      <c r="K47" s="495"/>
      <c r="N47"/>
    </row>
    <row r="48" spans="1:21" x14ac:dyDescent="0.2">
      <c r="B48" s="59"/>
      <c r="C48" s="490"/>
      <c r="K48" s="495"/>
      <c r="Q48" s="3"/>
    </row>
    <row r="49" spans="2:17" x14ac:dyDescent="0.2">
      <c r="B49" s="59"/>
      <c r="C49" s="490"/>
      <c r="K49" s="495"/>
      <c r="Q49" s="3"/>
    </row>
    <row r="50" spans="2:17" x14ac:dyDescent="0.2">
      <c r="B50" s="59"/>
      <c r="C50" s="490"/>
      <c r="K50" s="495"/>
    </row>
    <row r="51" spans="2:17" x14ac:dyDescent="0.2">
      <c r="K51" s="495"/>
    </row>
    <row r="52" spans="2:17" x14ac:dyDescent="0.2">
      <c r="K52" s="495"/>
    </row>
    <row r="53" spans="2:17" x14ac:dyDescent="0.2">
      <c r="K53" s="495"/>
    </row>
    <row r="54" spans="2:17" x14ac:dyDescent="0.2">
      <c r="K54" s="495"/>
    </row>
    <row r="55" spans="2:17" x14ac:dyDescent="0.2">
      <c r="K55" s="495"/>
    </row>
  </sheetData>
  <mergeCells count="4">
    <mergeCell ref="N4:P4"/>
    <mergeCell ref="A1:P1"/>
    <mergeCell ref="A2:P2"/>
    <mergeCell ref="A3:P3"/>
  </mergeCells>
  <phoneticPr fontId="0" type="noConversion"/>
  <pageMargins left="0.75" right="0.75" top="1" bottom="1" header="0.5" footer="0.5"/>
  <pageSetup scale="54" orientation="landscape" r:id="rId1"/>
  <headerFooter alignWithMargins="0">
    <oddFooter>&amp;R&amp;F/&amp;A
&amp;D</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1"/>
  <sheetViews>
    <sheetView zoomScale="90" zoomScaleNormal="90" workbookViewId="0">
      <selection activeCell="O6" sqref="O6"/>
    </sheetView>
  </sheetViews>
  <sheetFormatPr defaultRowHeight="12.75" x14ac:dyDescent="0.2"/>
  <cols>
    <col min="1" max="1" width="9.28515625" style="3" bestFit="1" customWidth="1"/>
    <col min="2" max="2" width="16.28515625" style="4" bestFit="1" customWidth="1"/>
    <col min="3" max="3" width="14.42578125" style="486" customWidth="1"/>
    <col min="4" max="4" width="14.42578125" style="4" customWidth="1"/>
    <col min="5" max="5" width="3.28515625" customWidth="1"/>
    <col min="6" max="6" width="15" style="259" customWidth="1"/>
    <col min="7" max="7" width="15" style="477" customWidth="1"/>
    <col min="8" max="8" width="18.5703125" style="259" customWidth="1"/>
    <col min="9" max="9" width="19.42578125" style="3" customWidth="1"/>
    <col min="10" max="10" width="18.5703125" style="3" customWidth="1"/>
    <col min="11" max="11" width="2.85546875" style="3" customWidth="1"/>
    <col min="12" max="12" width="17.28515625" style="3" bestFit="1" customWidth="1"/>
    <col min="13" max="13" width="18" style="3" customWidth="1"/>
    <col min="14" max="14" width="17.85546875" style="3" customWidth="1"/>
    <col min="15" max="15" width="15.140625" customWidth="1"/>
    <col min="17" max="17" width="12.85546875" customWidth="1"/>
    <col min="18" max="18" width="11" bestFit="1" customWidth="1"/>
  </cols>
  <sheetData>
    <row r="1" spans="1:18" ht="15.75" x14ac:dyDescent="0.25">
      <c r="A1" s="1022"/>
      <c r="B1" s="1022"/>
      <c r="C1" s="1022"/>
      <c r="D1" s="1022"/>
      <c r="E1" s="1022"/>
      <c r="F1" s="1022"/>
      <c r="G1" s="1022"/>
      <c r="H1" s="1022"/>
      <c r="I1" s="1022"/>
      <c r="J1" s="1022"/>
      <c r="K1" s="1022"/>
      <c r="L1" s="1022"/>
      <c r="M1" s="1022"/>
      <c r="N1" s="1022"/>
    </row>
    <row r="2" spans="1:18" ht="15.75" x14ac:dyDescent="0.25">
      <c r="A2" s="1024" t="s">
        <v>1000</v>
      </c>
      <c r="B2" s="1024"/>
      <c r="C2" s="1024"/>
      <c r="D2" s="1024"/>
      <c r="E2" s="1024"/>
      <c r="F2" s="1024"/>
      <c r="G2" s="1024"/>
      <c r="H2" s="1024"/>
      <c r="I2" s="1024"/>
      <c r="J2" s="1024"/>
      <c r="K2" s="1024"/>
      <c r="L2" s="1024"/>
      <c r="M2" s="1024"/>
      <c r="N2" s="1024"/>
      <c r="O2" s="122"/>
    </row>
    <row r="3" spans="1:18" ht="16.5" thickBot="1" x14ac:dyDescent="0.3">
      <c r="A3" s="1024" t="s">
        <v>1006</v>
      </c>
      <c r="B3" s="1024"/>
      <c r="C3" s="1024"/>
      <c r="D3" s="1024"/>
      <c r="E3" s="1024"/>
      <c r="F3" s="1024"/>
      <c r="G3" s="1024"/>
      <c r="H3" s="1024"/>
      <c r="I3" s="1024"/>
      <c r="J3" s="1024"/>
      <c r="K3" s="1024"/>
      <c r="L3" s="1024"/>
      <c r="M3" s="1024"/>
      <c r="N3" s="1024"/>
      <c r="O3" s="122"/>
    </row>
    <row r="4" spans="1:18" ht="13.5" thickBot="1" x14ac:dyDescent="0.25">
      <c r="B4" s="1025" t="s">
        <v>1001</v>
      </c>
      <c r="C4" s="1026"/>
      <c r="D4" s="1027"/>
      <c r="E4" s="677"/>
      <c r="F4" s="1028" t="s">
        <v>1002</v>
      </c>
      <c r="G4" s="1029"/>
      <c r="H4" s="1029"/>
      <c r="I4" s="1029"/>
      <c r="J4" s="1030"/>
      <c r="K4" s="688"/>
      <c r="L4" s="1031" t="s">
        <v>1003</v>
      </c>
      <c r="M4" s="1032"/>
      <c r="N4" s="1032"/>
      <c r="O4" s="1033"/>
    </row>
    <row r="5" spans="1:18" ht="39" customHeight="1" thickBot="1" x14ac:dyDescent="0.25">
      <c r="A5" s="512" t="s">
        <v>1005</v>
      </c>
      <c r="B5" s="695" t="s">
        <v>8</v>
      </c>
      <c r="C5" s="697" t="s">
        <v>67</v>
      </c>
      <c r="D5" s="696" t="s">
        <v>10</v>
      </c>
      <c r="E5" s="678"/>
      <c r="F5" s="699" t="s">
        <v>1</v>
      </c>
      <c r="G5" s="698" t="s">
        <v>393</v>
      </c>
      <c r="H5" s="699" t="s">
        <v>96</v>
      </c>
      <c r="I5" s="699" t="s">
        <v>63</v>
      </c>
      <c r="J5" s="692" t="s">
        <v>49</v>
      </c>
      <c r="K5" s="689"/>
      <c r="L5" s="700" t="s">
        <v>0</v>
      </c>
      <c r="M5" s="700" t="s">
        <v>12</v>
      </c>
      <c r="N5" s="700" t="s">
        <v>11</v>
      </c>
      <c r="O5" s="701" t="s">
        <v>1004</v>
      </c>
    </row>
    <row r="6" spans="1:18" x14ac:dyDescent="0.2">
      <c r="A6" s="259">
        <v>2016</v>
      </c>
      <c r="B6" s="52">
        <f>'Project Budget'!F21/2</f>
        <v>9100595.5</v>
      </c>
      <c r="C6" s="484">
        <v>0</v>
      </c>
      <c r="D6" s="53">
        <f>C6+B6</f>
        <v>9100595.5</v>
      </c>
      <c r="E6" s="679"/>
      <c r="F6" s="491">
        <v>0</v>
      </c>
      <c r="G6" s="491">
        <v>0</v>
      </c>
      <c r="H6" s="491">
        <v>0</v>
      </c>
      <c r="I6" s="54">
        <v>0</v>
      </c>
      <c r="J6" s="54">
        <v>0</v>
      </c>
      <c r="K6" s="690"/>
      <c r="L6" s="52">
        <f>$O6*D6</f>
        <v>9100595.5</v>
      </c>
      <c r="M6" s="52">
        <f>$O6*(F6+G6+H6+I6+J6)</f>
        <v>0</v>
      </c>
      <c r="N6" s="52">
        <f>+M6-L6</f>
        <v>-9100595.5</v>
      </c>
      <c r="O6" s="712">
        <f t="shared" ref="O6:O36" si="0">1/(1+$N$42)^(A6-2016)</f>
        <v>1</v>
      </c>
      <c r="Q6" s="393"/>
      <c r="R6" s="9"/>
    </row>
    <row r="7" spans="1:18" s="18" customFormat="1" x14ac:dyDescent="0.2">
      <c r="A7" s="680">
        <v>2017</v>
      </c>
      <c r="B7" s="681">
        <f>'Project Budget'!F21/2</f>
        <v>9100595.5</v>
      </c>
      <c r="C7" s="682">
        <v>0</v>
      </c>
      <c r="D7" s="683">
        <f>C7+B7</f>
        <v>9100595.5</v>
      </c>
      <c r="E7" s="687"/>
      <c r="F7" s="684">
        <v>0</v>
      </c>
      <c r="G7" s="684">
        <v>0</v>
      </c>
      <c r="H7" s="684">
        <v>0</v>
      </c>
      <c r="I7" s="685">
        <v>0</v>
      </c>
      <c r="J7" s="685">
        <v>0</v>
      </c>
      <c r="K7" s="691"/>
      <c r="L7" s="681">
        <f t="shared" ref="L7:L30" si="1">+$O7*D7</f>
        <v>8505229.4392523356</v>
      </c>
      <c r="M7" s="52">
        <f t="shared" ref="M7:M30" si="2">$O7*(F7+G7+H7+I7+J7)</f>
        <v>0</v>
      </c>
      <c r="N7" s="52">
        <f>+M7-L7</f>
        <v>-8505229.4392523356</v>
      </c>
      <c r="O7" s="713">
        <f t="shared" si="0"/>
        <v>0.93457943925233644</v>
      </c>
      <c r="Q7" s="686"/>
      <c r="R7" s="456"/>
    </row>
    <row r="8" spans="1:18" x14ac:dyDescent="0.2">
      <c r="A8" s="259">
        <v>2018</v>
      </c>
      <c r="B8" s="52">
        <f>'Project Budget'!H$35/2</f>
        <v>23455404.5</v>
      </c>
      <c r="C8" s="484">
        <v>0</v>
      </c>
      <c r="D8" s="53">
        <f>C8+B8</f>
        <v>23455404.5</v>
      </c>
      <c r="E8" s="679"/>
      <c r="F8" s="491">
        <v>0</v>
      </c>
      <c r="G8" s="491">
        <v>0</v>
      </c>
      <c r="H8" s="491">
        <v>0</v>
      </c>
      <c r="I8" s="54">
        <v>0</v>
      </c>
      <c r="J8" s="54">
        <v>0</v>
      </c>
      <c r="K8" s="690"/>
      <c r="L8" s="52">
        <f t="shared" si="1"/>
        <v>20486858.677613765</v>
      </c>
      <c r="M8" s="52">
        <f t="shared" si="2"/>
        <v>0</v>
      </c>
      <c r="N8" s="52">
        <f t="shared" ref="N8:N30" si="3">+M8-L8</f>
        <v>-20486858.677613765</v>
      </c>
      <c r="O8" s="714">
        <f t="shared" si="0"/>
        <v>0.87343872827321156</v>
      </c>
      <c r="Q8" s="395"/>
      <c r="R8" s="9"/>
    </row>
    <row r="9" spans="1:18" x14ac:dyDescent="0.2">
      <c r="A9" s="259">
        <v>2019</v>
      </c>
      <c r="B9" s="52">
        <f>'Project Budget'!H$35/2</f>
        <v>23455404.5</v>
      </c>
      <c r="C9" s="484">
        <v>0</v>
      </c>
      <c r="D9" s="53">
        <f>C9+B9</f>
        <v>23455404.5</v>
      </c>
      <c r="E9" s="679"/>
      <c r="F9" s="491">
        <v>0</v>
      </c>
      <c r="G9" s="491">
        <v>0</v>
      </c>
      <c r="H9" s="491">
        <v>0</v>
      </c>
      <c r="I9" s="54">
        <v>0</v>
      </c>
      <c r="J9" s="54">
        <v>0</v>
      </c>
      <c r="K9" s="690"/>
      <c r="L9" s="52">
        <f t="shared" si="1"/>
        <v>19146596.894966133</v>
      </c>
      <c r="M9" s="52">
        <f t="shared" si="2"/>
        <v>0</v>
      </c>
      <c r="N9" s="52">
        <f t="shared" si="3"/>
        <v>-19146596.894966133</v>
      </c>
      <c r="O9" s="714">
        <f t="shared" si="0"/>
        <v>0.81629787689085187</v>
      </c>
      <c r="Q9" s="395"/>
      <c r="R9" s="9"/>
    </row>
    <row r="10" spans="1:18" x14ac:dyDescent="0.2">
      <c r="A10" s="3">
        <v>2020</v>
      </c>
      <c r="B10" s="52">
        <v>0</v>
      </c>
      <c r="C10" s="484">
        <f>Input!$B$10</f>
        <v>165856</v>
      </c>
      <c r="D10" s="53">
        <f t="shared" ref="D10:D30" si="4">C10+B10</f>
        <v>165856</v>
      </c>
      <c r="E10" s="679"/>
      <c r="F10" s="491">
        <f>(Input!$B$43)+(Input!$B$52-Input!$B$43)*((A10-2020)/20)</f>
        <v>3843107.1539984066</v>
      </c>
      <c r="G10" s="495">
        <f>(Input!$B$68)+(Input!$B$69-Input!$B$68)*((A10-2020)/20)</f>
        <v>-405.52725632099902</v>
      </c>
      <c r="H10" s="491">
        <f>Input!B92</f>
        <v>476224.64032306767</v>
      </c>
      <c r="I10" s="495">
        <f>(Input!$B$122*Input!$B$123)-(Input!$B$122*Input!$B$123)*0.25*((2030-A10)/20)</f>
        <v>-18.381909175174506</v>
      </c>
      <c r="J10" s="54">
        <v>0</v>
      </c>
      <c r="K10" s="690"/>
      <c r="L10" s="52">
        <f t="shared" si="1"/>
        <v>126530.74828935433</v>
      </c>
      <c r="M10" s="52">
        <f t="shared" si="2"/>
        <v>3294874.146859799</v>
      </c>
      <c r="N10" s="52">
        <f t="shared" si="3"/>
        <v>3168343.3985704449</v>
      </c>
      <c r="O10" s="712">
        <f t="shared" si="0"/>
        <v>0.7628952120475252</v>
      </c>
      <c r="Q10" s="393"/>
      <c r="R10" s="394"/>
    </row>
    <row r="11" spans="1:18" x14ac:dyDescent="0.2">
      <c r="A11" s="259">
        <v>2021</v>
      </c>
      <c r="B11" s="52">
        <v>0</v>
      </c>
      <c r="C11" s="484">
        <f>C10</f>
        <v>165856</v>
      </c>
      <c r="D11" s="53">
        <f t="shared" si="4"/>
        <v>165856</v>
      </c>
      <c r="E11" s="679"/>
      <c r="F11" s="491">
        <f>(Input!$B$43)+(Input!$B$52-Input!$B$43)*((A11-2020)/20)</f>
        <v>3971210.7257983536</v>
      </c>
      <c r="G11" s="495">
        <f>(Input!$B$68)+(Input!$B$69-Input!$B$68)*((A11-2020)/20)</f>
        <v>-419.02668153169896</v>
      </c>
      <c r="H11" s="491">
        <f>H10*1.029</f>
        <v>490035.15489243658</v>
      </c>
      <c r="I11" s="495">
        <f>(Input!$B$122*Input!$B$123)-(Input!$B$122*Input!$B$123)*0.25*((2030-A11)/10)</f>
        <v>-16.281119555154561</v>
      </c>
      <c r="J11" s="54">
        <v>0</v>
      </c>
      <c r="K11" s="690"/>
      <c r="L11" s="52">
        <f t="shared" si="1"/>
        <v>118253.0357844433</v>
      </c>
      <c r="M11" s="52">
        <f t="shared" si="2"/>
        <v>3180496.2877649837</v>
      </c>
      <c r="N11" s="52">
        <f t="shared" si="3"/>
        <v>3062243.2519805403</v>
      </c>
      <c r="O11" s="712">
        <f t="shared" si="0"/>
        <v>0.71298617948366838</v>
      </c>
      <c r="Q11" s="393"/>
      <c r="R11" s="394"/>
    </row>
    <row r="12" spans="1:18" x14ac:dyDescent="0.2">
      <c r="A12" s="3">
        <v>2022</v>
      </c>
      <c r="B12" s="52">
        <v>0</v>
      </c>
      <c r="C12" s="484">
        <f t="shared" ref="C12:C30" si="5">C11</f>
        <v>165856</v>
      </c>
      <c r="D12" s="53">
        <f t="shared" si="4"/>
        <v>165856</v>
      </c>
      <c r="E12" s="679"/>
      <c r="F12" s="491">
        <f>(Input!$B$43)+(Input!$B$52-Input!$B$43)*((A12-2020)/20)</f>
        <v>4099314.2975983005</v>
      </c>
      <c r="G12" s="495">
        <f>(Input!$B$68)+(Input!$B$69-Input!$B$68)*((A12-2020)/20)</f>
        <v>-432.52610674239889</v>
      </c>
      <c r="H12" s="491">
        <f t="shared" ref="H12:H30" si="6">H11*1.029</f>
        <v>504246.17438431719</v>
      </c>
      <c r="I12" s="495">
        <f>(Input!$B$122*Input!$B$123)-(Input!$B$122*Input!$B$123)*0.25*((2030-A12)/10)</f>
        <v>-16.806316960159549</v>
      </c>
      <c r="J12" s="54">
        <v>0</v>
      </c>
      <c r="K12" s="690"/>
      <c r="L12" s="52">
        <f t="shared" si="1"/>
        <v>110516.85587331151</v>
      </c>
      <c r="M12" s="52">
        <f t="shared" si="2"/>
        <v>3067247.3132082485</v>
      </c>
      <c r="N12" s="52">
        <f t="shared" si="3"/>
        <v>2956730.4573349371</v>
      </c>
      <c r="O12" s="712">
        <f t="shared" si="0"/>
        <v>0.66634222381651254</v>
      </c>
      <c r="Q12" s="393"/>
      <c r="R12" s="394"/>
    </row>
    <row r="13" spans="1:18" x14ac:dyDescent="0.2">
      <c r="A13" s="259">
        <v>2023</v>
      </c>
      <c r="B13" s="52">
        <v>0</v>
      </c>
      <c r="C13" s="484">
        <f t="shared" si="5"/>
        <v>165856</v>
      </c>
      <c r="D13" s="53">
        <f t="shared" si="4"/>
        <v>165856</v>
      </c>
      <c r="E13" s="679"/>
      <c r="F13" s="491">
        <f>(Input!$B$43)+(Input!$B$52-Input!$B$43)*((A13-2020)/20)</f>
        <v>4227417.8693982475</v>
      </c>
      <c r="G13" s="495">
        <f>(Input!$B$68)+(Input!$B$69-Input!$B$68)*((A13-2020)/20)</f>
        <v>-446.02553195309883</v>
      </c>
      <c r="H13" s="491">
        <f t="shared" si="6"/>
        <v>518869.31344146235</v>
      </c>
      <c r="I13" s="495">
        <f>(Input!$B$122*Input!$B$123)-(Input!$B$122*Input!$B$123)*0.25*((2030-A13)/10)</f>
        <v>-17.331514365164537</v>
      </c>
      <c r="J13" s="54">
        <v>0</v>
      </c>
      <c r="K13" s="690"/>
      <c r="L13" s="52">
        <f t="shared" si="1"/>
        <v>103286.78119001073</v>
      </c>
      <c r="M13" s="52">
        <f t="shared" si="2"/>
        <v>2955460.5625425773</v>
      </c>
      <c r="N13" s="52">
        <f t="shared" si="3"/>
        <v>2852173.7813525666</v>
      </c>
      <c r="O13" s="712">
        <f t="shared" si="0"/>
        <v>0.62274974188459109</v>
      </c>
      <c r="Q13" s="393"/>
      <c r="R13" s="394"/>
    </row>
    <row r="14" spans="1:18" x14ac:dyDescent="0.2">
      <c r="A14" s="3">
        <v>2024</v>
      </c>
      <c r="B14" s="52">
        <v>0</v>
      </c>
      <c r="C14" s="484">
        <f t="shared" si="5"/>
        <v>165856</v>
      </c>
      <c r="D14" s="53">
        <f t="shared" si="4"/>
        <v>165856</v>
      </c>
      <c r="E14" s="679"/>
      <c r="F14" s="491">
        <f>(Input!$B$43)+(Input!$B$52-Input!$B$43)*((A14-2020)/20)</f>
        <v>4355521.4411981944</v>
      </c>
      <c r="G14" s="495">
        <f>(Input!$B$68)+(Input!$B$69-Input!$B$68)*((A14-2020)/20)</f>
        <v>-459.52495716379883</v>
      </c>
      <c r="H14" s="491">
        <f t="shared" si="6"/>
        <v>533916.52353126474</v>
      </c>
      <c r="I14" s="495">
        <f>(Input!$B$122*Input!$B$123)-(Input!$B$122*Input!$B$123)*0.25*((2030-A14)/10)</f>
        <v>-17.856711770169522</v>
      </c>
      <c r="J14" s="54">
        <v>0</v>
      </c>
      <c r="K14" s="690"/>
      <c r="L14" s="52">
        <f t="shared" si="1"/>
        <v>96529.70204673901</v>
      </c>
      <c r="M14" s="52">
        <f t="shared" si="2"/>
        <v>2845419.5712008239</v>
      </c>
      <c r="N14" s="52">
        <f t="shared" si="3"/>
        <v>2748889.8691540849</v>
      </c>
      <c r="O14" s="712">
        <f t="shared" si="0"/>
        <v>0.5820091045650384</v>
      </c>
      <c r="Q14" s="393"/>
      <c r="R14" s="394"/>
    </row>
    <row r="15" spans="1:18" x14ac:dyDescent="0.2">
      <c r="A15" s="259">
        <v>2025</v>
      </c>
      <c r="B15" s="52">
        <v>0</v>
      </c>
      <c r="C15" s="484">
        <f t="shared" si="5"/>
        <v>165856</v>
      </c>
      <c r="D15" s="53">
        <f t="shared" si="4"/>
        <v>165856</v>
      </c>
      <c r="E15" s="679"/>
      <c r="F15" s="491">
        <f>(Input!$B$43)+(Input!$B$52-Input!$B$43)*((A15-2020)/20)</f>
        <v>4483625.0129981413</v>
      </c>
      <c r="G15" s="495">
        <f>(Input!$B$68)+(Input!$B$69-Input!$B$68)*((A15-2020)/20)</f>
        <v>-473.02438237449877</v>
      </c>
      <c r="H15" s="491">
        <f t="shared" si="6"/>
        <v>549400.1027136714</v>
      </c>
      <c r="I15" s="495">
        <f>(Input!$B$122*Input!$B$123)-(Input!$B$122*Input!$B$123)*0.25*((2030-A15)/10)</f>
        <v>-18.381909175174506</v>
      </c>
      <c r="J15" s="54">
        <v>0</v>
      </c>
      <c r="K15" s="690"/>
      <c r="L15" s="52">
        <f t="shared" si="1"/>
        <v>90214.674810036464</v>
      </c>
      <c r="M15" s="52">
        <f t="shared" si="2"/>
        <v>2737364.8952458496</v>
      </c>
      <c r="N15" s="52">
        <f t="shared" si="3"/>
        <v>2647150.2204358131</v>
      </c>
      <c r="O15" s="712">
        <f t="shared" si="0"/>
        <v>0.54393374258414806</v>
      </c>
      <c r="Q15" s="393"/>
      <c r="R15" s="394"/>
    </row>
    <row r="16" spans="1:18" x14ac:dyDescent="0.2">
      <c r="A16" s="3">
        <v>2026</v>
      </c>
      <c r="B16" s="52">
        <v>0</v>
      </c>
      <c r="C16" s="484">
        <f t="shared" si="5"/>
        <v>165856</v>
      </c>
      <c r="D16" s="53">
        <f t="shared" si="4"/>
        <v>165856</v>
      </c>
      <c r="E16" s="679"/>
      <c r="F16" s="491">
        <f>(Input!$B$43)+(Input!$B$52-Input!$B$43)*((A16-2020)/20)</f>
        <v>4611728.5847980874</v>
      </c>
      <c r="G16" s="495">
        <f>(Input!$B$68)+(Input!$B$69-Input!$B$68)*((A16-2020)/20)</f>
        <v>-486.52380758519871</v>
      </c>
      <c r="H16" s="491">
        <f t="shared" si="6"/>
        <v>565332.70569236786</v>
      </c>
      <c r="I16" s="495">
        <f>(Input!$B$122*Input!$B$123)-(Input!$B$122*Input!$B$123)*0.25*((2030-A16)/10)</f>
        <v>-18.907106580179494</v>
      </c>
      <c r="J16" s="54">
        <v>0</v>
      </c>
      <c r="K16" s="690"/>
      <c r="L16" s="52">
        <f t="shared" si="1"/>
        <v>84312.78019629576</v>
      </c>
      <c r="M16" s="52">
        <f t="shared" si="2"/>
        <v>2631498.5069114324</v>
      </c>
      <c r="N16" s="52">
        <f t="shared" si="3"/>
        <v>2547185.7267151368</v>
      </c>
      <c r="O16" s="712">
        <f t="shared" si="0"/>
        <v>0.5083492921347178</v>
      </c>
      <c r="Q16" s="393"/>
      <c r="R16" s="394"/>
    </row>
    <row r="17" spans="1:18" x14ac:dyDescent="0.2">
      <c r="A17" s="259">
        <v>2027</v>
      </c>
      <c r="B17" s="52">
        <v>0</v>
      </c>
      <c r="C17" s="484">
        <f t="shared" si="5"/>
        <v>165856</v>
      </c>
      <c r="D17" s="53">
        <f t="shared" si="4"/>
        <v>165856</v>
      </c>
      <c r="E17" s="679"/>
      <c r="F17" s="491">
        <f>(Input!$B$43)+(Input!$B$52-Input!$B$43)*((A17-2020)/20)</f>
        <v>4739832.1565980343</v>
      </c>
      <c r="G17" s="495">
        <f>(Input!$B$68)+(Input!$B$69-Input!$B$68)*((A17-2020)/20)</f>
        <v>-500.02323279589865</v>
      </c>
      <c r="H17" s="491">
        <f t="shared" si="6"/>
        <v>581727.35415744653</v>
      </c>
      <c r="I17" s="495">
        <f>(Input!$B$122*Input!$B$123)-(Input!$B$122*Input!$B$123)*0.25*((2030-A17)/10)</f>
        <v>-19.432303985184479</v>
      </c>
      <c r="J17" s="54">
        <v>0</v>
      </c>
      <c r="K17" s="690"/>
      <c r="L17" s="52">
        <f t="shared" si="1"/>
        <v>78796.99083765957</v>
      </c>
      <c r="M17" s="52">
        <f t="shared" si="2"/>
        <v>2527987.7995242104</v>
      </c>
      <c r="N17" s="52">
        <f t="shared" si="3"/>
        <v>2449190.8086865507</v>
      </c>
      <c r="O17" s="712">
        <f t="shared" si="0"/>
        <v>0.47509279638758667</v>
      </c>
      <c r="Q17" s="393"/>
      <c r="R17" s="394"/>
    </row>
    <row r="18" spans="1:18" x14ac:dyDescent="0.2">
      <c r="A18" s="3">
        <v>2028</v>
      </c>
      <c r="B18" s="52">
        <v>0</v>
      </c>
      <c r="C18" s="484">
        <f t="shared" si="5"/>
        <v>165856</v>
      </c>
      <c r="D18" s="53">
        <f t="shared" si="4"/>
        <v>165856</v>
      </c>
      <c r="E18" s="679"/>
      <c r="F18" s="491">
        <f>(Input!$B$43)+(Input!$B$52-Input!$B$43)*((A18-2020)/20)</f>
        <v>4867935.7283979813</v>
      </c>
      <c r="G18" s="495">
        <f>(Input!$B$68)+(Input!$B$69-Input!$B$68)*((A18-2020)/20)</f>
        <v>-513.52265800659859</v>
      </c>
      <c r="H18" s="491">
        <f t="shared" si="6"/>
        <v>598597.44742801238</v>
      </c>
      <c r="I18" s="495">
        <f>(Input!$B$122*Input!$B$123)-(Input!$B$122*Input!$B$123)*0.25*((2030-A18)/10)</f>
        <v>-19.957501390189464</v>
      </c>
      <c r="J18" s="54">
        <v>0</v>
      </c>
      <c r="K18" s="690"/>
      <c r="L18" s="52">
        <f t="shared" si="1"/>
        <v>73642.047511831392</v>
      </c>
      <c r="M18" s="52">
        <f t="shared" si="2"/>
        <v>2426969.2340821885</v>
      </c>
      <c r="N18" s="52">
        <f t="shared" si="3"/>
        <v>2353327.1865703571</v>
      </c>
      <c r="O18" s="712">
        <f t="shared" si="0"/>
        <v>0.44401195924073528</v>
      </c>
      <c r="Q18" s="393"/>
      <c r="R18" s="394"/>
    </row>
    <row r="19" spans="1:18" x14ac:dyDescent="0.2">
      <c r="A19" s="259">
        <v>2029</v>
      </c>
      <c r="B19" s="52">
        <v>0</v>
      </c>
      <c r="C19" s="484">
        <f t="shared" si="5"/>
        <v>165856</v>
      </c>
      <c r="D19" s="53">
        <f t="shared" si="4"/>
        <v>165856</v>
      </c>
      <c r="E19" s="679"/>
      <c r="F19" s="491">
        <f>(Input!$B$43)+(Input!$B$52-Input!$B$43)*((A19-2020)/20)</f>
        <v>4996039.3001979282</v>
      </c>
      <c r="G19" s="495">
        <f>(Input!$B$68)+(Input!$B$69-Input!$B$68)*((A19-2020)/20)</f>
        <v>-527.02208321729859</v>
      </c>
      <c r="H19" s="491">
        <f t="shared" si="6"/>
        <v>615956.77340342465</v>
      </c>
      <c r="I19" s="495">
        <f>(Input!$B$122*Input!$B$123)-(Input!$B$122*Input!$B$123)*0.25*((2030-A19)/10)</f>
        <v>-20.482698795194452</v>
      </c>
      <c r="J19" s="54">
        <v>0</v>
      </c>
      <c r="K19" s="690"/>
      <c r="L19" s="52">
        <f t="shared" si="1"/>
        <v>68824.343469001295</v>
      </c>
      <c r="M19" s="52">
        <f t="shared" si="2"/>
        <v>2328551.657215042</v>
      </c>
      <c r="N19" s="52">
        <f t="shared" si="3"/>
        <v>2259727.3137460407</v>
      </c>
      <c r="O19" s="712">
        <f t="shared" si="0"/>
        <v>0.41496444788853759</v>
      </c>
      <c r="Q19" s="393"/>
      <c r="R19" s="394"/>
    </row>
    <row r="20" spans="1:18" x14ac:dyDescent="0.2">
      <c r="A20" s="3">
        <v>2030</v>
      </c>
      <c r="B20" s="52">
        <v>0</v>
      </c>
      <c r="C20" s="484">
        <f t="shared" si="5"/>
        <v>165856</v>
      </c>
      <c r="D20" s="53">
        <f t="shared" si="4"/>
        <v>165856</v>
      </c>
      <c r="E20" s="679"/>
      <c r="F20" s="491">
        <f>(Input!$B$43)+(Input!$B$52-Input!$B$43)*((A20-2020)/20)</f>
        <v>5124142.8719978752</v>
      </c>
      <c r="G20" s="495">
        <f>(Input!$B$68)+(Input!$B$69-Input!$B$68)*((A20-2020)/20)</f>
        <v>-540.52150842799847</v>
      </c>
      <c r="H20" s="491">
        <f t="shared" si="6"/>
        <v>633819.51983212389</v>
      </c>
      <c r="I20" s="495">
        <f>(Input!$B$122*Input!$B$123)-(Input!$B$122*Input!$B$123)*0.25*((2030-A20)/10)</f>
        <v>-21.007896200199436</v>
      </c>
      <c r="J20" s="54">
        <v>0</v>
      </c>
      <c r="K20" s="690"/>
      <c r="L20" s="52">
        <f t="shared" si="1"/>
        <v>64321.816326169435</v>
      </c>
      <c r="M20" s="52">
        <f t="shared" si="2"/>
        <v>2232819.3178965743</v>
      </c>
      <c r="N20" s="52">
        <f t="shared" si="3"/>
        <v>2168497.501570405</v>
      </c>
      <c r="O20" s="712">
        <f t="shared" si="0"/>
        <v>0.3878172410173249</v>
      </c>
      <c r="Q20" s="393"/>
      <c r="R20" s="394"/>
    </row>
    <row r="21" spans="1:18" x14ac:dyDescent="0.2">
      <c r="A21" s="259">
        <v>2031</v>
      </c>
      <c r="B21" s="52">
        <v>0</v>
      </c>
      <c r="C21" s="484">
        <f t="shared" si="5"/>
        <v>165856</v>
      </c>
      <c r="D21" s="53">
        <f t="shared" si="4"/>
        <v>165856</v>
      </c>
      <c r="E21" s="679"/>
      <c r="F21" s="491">
        <f>(Input!$B$43)+(Input!$B$52-Input!$B$43)*((A21-2020)/20)</f>
        <v>5252246.4437978221</v>
      </c>
      <c r="G21" s="495">
        <f>(Input!$B$68)+(Input!$B$69-Input!$B$68)*((A21-2020)/20)</f>
        <v>-554.02093363869847</v>
      </c>
      <c r="H21" s="491">
        <f t="shared" si="6"/>
        <v>652200.28590725537</v>
      </c>
      <c r="I21" s="495">
        <f>(Input!$B$122*Input!$B$123)-(Input!$B$122*Input!$B$123)*0.25*((2030-A21)/10)</f>
        <v>-21.533093605204421</v>
      </c>
      <c r="J21" s="54">
        <v>0</v>
      </c>
      <c r="K21" s="690"/>
      <c r="L21" s="52">
        <f t="shared" si="1"/>
        <v>60113.847033803206</v>
      </c>
      <c r="M21" s="52">
        <f t="shared" si="2"/>
        <v>2139834.6081056893</v>
      </c>
      <c r="N21" s="52">
        <f t="shared" si="3"/>
        <v>2079720.7610718862</v>
      </c>
      <c r="O21" s="712">
        <f t="shared" si="0"/>
        <v>0.36244601964235967</v>
      </c>
      <c r="Q21" s="393"/>
      <c r="R21" s="394"/>
    </row>
    <row r="22" spans="1:18" x14ac:dyDescent="0.2">
      <c r="A22" s="3">
        <v>2032</v>
      </c>
      <c r="B22" s="52">
        <v>0</v>
      </c>
      <c r="C22" s="484">
        <f t="shared" si="5"/>
        <v>165856</v>
      </c>
      <c r="D22" s="53">
        <f t="shared" si="4"/>
        <v>165856</v>
      </c>
      <c r="E22" s="679"/>
      <c r="F22" s="491">
        <f>(Input!$B$43)+(Input!$B$52-Input!$B$43)*((A22-2020)/20)</f>
        <v>5380350.0155977691</v>
      </c>
      <c r="G22" s="495">
        <f>(Input!$B$68)+(Input!$B$69-Input!$B$68)*((A22-2020)/20)</f>
        <v>-567.52035884939835</v>
      </c>
      <c r="H22" s="491">
        <f t="shared" si="6"/>
        <v>671114.0941985657</v>
      </c>
      <c r="I22" s="495">
        <f>(Input!$B$122*Input!$B$123)-(Input!$B$122*Input!$B$123)*0.25*((2030-A22)/10)</f>
        <v>-22.058291010209409</v>
      </c>
      <c r="J22" s="54">
        <v>0</v>
      </c>
      <c r="K22" s="690"/>
      <c r="L22" s="52">
        <f t="shared" si="1"/>
        <v>56181.165452152534</v>
      </c>
      <c r="M22" s="52">
        <f t="shared" si="2"/>
        <v>2049640.550625579</v>
      </c>
      <c r="N22" s="52">
        <f t="shared" si="3"/>
        <v>1993459.3851734265</v>
      </c>
      <c r="O22" s="712">
        <f t="shared" si="0"/>
        <v>0.33873459779659787</v>
      </c>
      <c r="Q22" s="393"/>
      <c r="R22" s="394"/>
    </row>
    <row r="23" spans="1:18" x14ac:dyDescent="0.2">
      <c r="A23" s="259">
        <v>2033</v>
      </c>
      <c r="B23" s="52">
        <v>0</v>
      </c>
      <c r="C23" s="484">
        <f t="shared" si="5"/>
        <v>165856</v>
      </c>
      <c r="D23" s="53">
        <f t="shared" si="4"/>
        <v>165856</v>
      </c>
      <c r="E23" s="679"/>
      <c r="F23" s="491">
        <f>(Input!$B$43)+(Input!$B$52-Input!$B$43)*((A23-2020)/20)</f>
        <v>5508453.587397716</v>
      </c>
      <c r="G23" s="495">
        <f>(Input!$B$68)+(Input!$B$69-Input!$B$68)*((A23-2020)/20)</f>
        <v>-581.01978406009835</v>
      </c>
      <c r="H23" s="491">
        <f t="shared" si="6"/>
        <v>690576.40293032408</v>
      </c>
      <c r="I23" s="495">
        <f>(Input!$B$122*Input!$B$123)-(Input!$B$122*Input!$B$123)*0.25*((2030-A23)/10)</f>
        <v>-22.583488415214394</v>
      </c>
      <c r="J23" s="54">
        <v>0</v>
      </c>
      <c r="K23" s="690"/>
      <c r="L23" s="52">
        <f t="shared" si="1"/>
        <v>52505.762104815454</v>
      </c>
      <c r="M23" s="52">
        <f t="shared" si="2"/>
        <v>1962263.0553187721</v>
      </c>
      <c r="N23" s="52">
        <f t="shared" si="3"/>
        <v>1909757.2932139565</v>
      </c>
      <c r="O23" s="712">
        <f t="shared" si="0"/>
        <v>0.31657439046411018</v>
      </c>
      <c r="Q23" s="393"/>
      <c r="R23" s="394"/>
    </row>
    <row r="24" spans="1:18" x14ac:dyDescent="0.2">
      <c r="A24" s="3">
        <v>2034</v>
      </c>
      <c r="B24" s="52">
        <v>0</v>
      </c>
      <c r="C24" s="484">
        <f t="shared" si="5"/>
        <v>165856</v>
      </c>
      <c r="D24" s="53">
        <f t="shared" si="4"/>
        <v>165856</v>
      </c>
      <c r="E24" s="679"/>
      <c r="F24" s="491">
        <f>(Input!$B$43)+(Input!$B$52-Input!$B$43)*((A24-2020)/20)</f>
        <v>5636557.159197662</v>
      </c>
      <c r="G24" s="495">
        <f>(Input!$B$68)+(Input!$B$69-Input!$B$68)*((A24-2020)/20)</f>
        <v>-594.51920927079823</v>
      </c>
      <c r="H24" s="491">
        <f t="shared" si="6"/>
        <v>710603.11861530342</v>
      </c>
      <c r="I24" s="495">
        <f>(Input!$B$122*Input!$B$123)-(Input!$B$122*Input!$B$123)*0.25*((2030-A24)/10)</f>
        <v>-23.108685820219378</v>
      </c>
      <c r="J24" s="54">
        <v>0</v>
      </c>
      <c r="K24" s="690"/>
      <c r="L24" s="52">
        <f t="shared" si="1"/>
        <v>49070.805705434999</v>
      </c>
      <c r="M24" s="52">
        <f t="shared" si="2"/>
        <v>1877712.9635067564</v>
      </c>
      <c r="N24" s="52">
        <f t="shared" si="3"/>
        <v>1828642.1578013212</v>
      </c>
      <c r="O24" s="712">
        <f t="shared" si="0"/>
        <v>0.29586391632159825</v>
      </c>
      <c r="Q24" s="393"/>
      <c r="R24" s="394"/>
    </row>
    <row r="25" spans="1:18" x14ac:dyDescent="0.2">
      <c r="A25" s="259">
        <v>2035</v>
      </c>
      <c r="B25" s="52">
        <v>0</v>
      </c>
      <c r="C25" s="484">
        <f t="shared" si="5"/>
        <v>165856</v>
      </c>
      <c r="D25" s="53">
        <f t="shared" si="4"/>
        <v>165856</v>
      </c>
      <c r="E25" s="679"/>
      <c r="F25" s="491">
        <f>(Input!$B$43)+(Input!$B$52-Input!$B$43)*((A25-2020)/20)</f>
        <v>5764660.730997609</v>
      </c>
      <c r="G25" s="495">
        <f>(Input!$B$68)+(Input!$B$69-Input!$B$68)*((A25-2020)/20)</f>
        <v>-608.01863448149822</v>
      </c>
      <c r="H25" s="491">
        <f t="shared" si="6"/>
        <v>731210.60905514716</v>
      </c>
      <c r="I25" s="495">
        <f>(Input!$B$122*Input!$B$123)-(Input!$B$122*Input!$B$123)*0.25*((2030-A25)/10)</f>
        <v>-23.633883225224366</v>
      </c>
      <c r="J25" s="54">
        <v>0</v>
      </c>
      <c r="K25" s="690"/>
      <c r="L25" s="52">
        <f t="shared" si="1"/>
        <v>45860.566079845798</v>
      </c>
      <c r="M25" s="52">
        <f t="shared" si="2"/>
        <v>1795987.8985061627</v>
      </c>
      <c r="N25" s="52">
        <f t="shared" si="3"/>
        <v>1750127.3324263168</v>
      </c>
      <c r="O25" s="712">
        <f t="shared" si="0"/>
        <v>0.27650833301083949</v>
      </c>
      <c r="Q25" s="393"/>
      <c r="R25" s="394"/>
    </row>
    <row r="26" spans="1:18" x14ac:dyDescent="0.2">
      <c r="A26" s="3">
        <v>2036</v>
      </c>
      <c r="B26" s="52">
        <v>0</v>
      </c>
      <c r="C26" s="484">
        <f t="shared" si="5"/>
        <v>165856</v>
      </c>
      <c r="D26" s="53">
        <f t="shared" si="4"/>
        <v>165856</v>
      </c>
      <c r="E26" s="679"/>
      <c r="F26" s="491">
        <f>(Input!$B$43)+(Input!$B$52-Input!$B$43)*((A26-2020)/20)</f>
        <v>5892764.3027975559</v>
      </c>
      <c r="G26" s="495">
        <f>(Input!$B$68)+(Input!$B$69-Input!$B$68)*((A26-2020)/20)</f>
        <v>-621.51805969219822</v>
      </c>
      <c r="H26" s="491">
        <f t="shared" si="6"/>
        <v>752415.71671774634</v>
      </c>
      <c r="I26" s="495">
        <f>(Input!$B$122*Input!$B$123)-(Input!$B$122*Input!$B$123)*0.25*((2030-A26)/10)</f>
        <v>-24.159080630229351</v>
      </c>
      <c r="J26" s="54">
        <v>0</v>
      </c>
      <c r="K26" s="690"/>
      <c r="L26" s="52">
        <f t="shared" si="1"/>
        <v>42860.342130697005</v>
      </c>
      <c r="M26" s="52">
        <f t="shared" si="2"/>
        <v>1717073.9389190471</v>
      </c>
      <c r="N26" s="52">
        <f t="shared" si="3"/>
        <v>1674213.59678835</v>
      </c>
      <c r="O26" s="712">
        <f t="shared" si="0"/>
        <v>0.2584190028138687</v>
      </c>
      <c r="Q26" s="393"/>
      <c r="R26" s="394"/>
    </row>
    <row r="27" spans="1:18" x14ac:dyDescent="0.2">
      <c r="A27" s="259">
        <v>2037</v>
      </c>
      <c r="B27" s="52">
        <v>0</v>
      </c>
      <c r="C27" s="484">
        <f t="shared" si="5"/>
        <v>165856</v>
      </c>
      <c r="D27" s="53">
        <f t="shared" si="4"/>
        <v>165856</v>
      </c>
      <c r="E27" s="679"/>
      <c r="F27" s="491">
        <f>(Input!$B$43)+(Input!$B$52-Input!$B$43)*((A27-2020)/20)</f>
        <v>6020867.8745975029</v>
      </c>
      <c r="G27" s="495">
        <f>(Input!$B$68)+(Input!$B$69-Input!$B$68)*((A27-2020)/20)</f>
        <v>-635.0174849028981</v>
      </c>
      <c r="H27" s="491">
        <f t="shared" si="6"/>
        <v>774235.77250256087</v>
      </c>
      <c r="I27" s="495">
        <f>(Input!$B$122*Input!$B$123)-(Input!$B$122*Input!$B$123)*0.25*((2030-A27)/10)</f>
        <v>-24.684278035234335</v>
      </c>
      <c r="J27" s="54">
        <v>0</v>
      </c>
      <c r="K27" s="690"/>
      <c r="L27" s="52">
        <f t="shared" si="1"/>
        <v>40056.394514670101</v>
      </c>
      <c r="M27" s="52">
        <f t="shared" si="2"/>
        <v>1640947.1299334092</v>
      </c>
      <c r="N27" s="52">
        <f t="shared" si="3"/>
        <v>1600890.735418739</v>
      </c>
      <c r="O27" s="712">
        <f t="shared" si="0"/>
        <v>0.24151308674193336</v>
      </c>
      <c r="Q27" s="393"/>
      <c r="R27" s="394"/>
    </row>
    <row r="28" spans="1:18" x14ac:dyDescent="0.2">
      <c r="A28" s="3">
        <v>2038</v>
      </c>
      <c r="B28" s="52">
        <v>0</v>
      </c>
      <c r="C28" s="484">
        <f t="shared" si="5"/>
        <v>165856</v>
      </c>
      <c r="D28" s="53">
        <f t="shared" si="4"/>
        <v>165856</v>
      </c>
      <c r="E28" s="679"/>
      <c r="F28" s="491">
        <f>(Input!$B$43)+(Input!$B$52-Input!$B$43)*((A28-2020)/20)</f>
        <v>6148971.4463974498</v>
      </c>
      <c r="G28" s="495">
        <f>(Input!$B$68)+(Input!$B$69-Input!$B$68)*((A28-2020)/20)</f>
        <v>-648.5169101135981</v>
      </c>
      <c r="H28" s="491">
        <f t="shared" si="6"/>
        <v>796688.60990513512</v>
      </c>
      <c r="I28" s="495">
        <f>(Input!$B$122*Input!$B$123)-(Input!$B$122*Input!$B$123)*0.25*((2030-A28)/10)</f>
        <v>-25.209475440239324</v>
      </c>
      <c r="J28" s="54">
        <v>0</v>
      </c>
      <c r="K28" s="690"/>
      <c r="L28" s="52">
        <f t="shared" si="1"/>
        <v>37435.882723990748</v>
      </c>
      <c r="M28" s="52">
        <f t="shared" si="2"/>
        <v>1567574.846653078</v>
      </c>
      <c r="N28" s="52">
        <f t="shared" si="3"/>
        <v>1530138.9639290872</v>
      </c>
      <c r="O28" s="712">
        <f t="shared" si="0"/>
        <v>0.22571316517937698</v>
      </c>
      <c r="Q28" s="393"/>
      <c r="R28" s="394"/>
    </row>
    <row r="29" spans="1:18" x14ac:dyDescent="0.2">
      <c r="A29" s="259">
        <v>2039</v>
      </c>
      <c r="B29" s="52">
        <v>0</v>
      </c>
      <c r="C29" s="484">
        <f t="shared" si="5"/>
        <v>165856</v>
      </c>
      <c r="D29" s="53">
        <f t="shared" si="4"/>
        <v>165856</v>
      </c>
      <c r="E29" s="679"/>
      <c r="F29" s="491">
        <f>(Input!$B$43)+(Input!$B$52-Input!$B$43)*((A29-2020)/20)</f>
        <v>6277075.0181973968</v>
      </c>
      <c r="G29" s="495">
        <f>(Input!$B$68)+(Input!$B$69-Input!$B$68)*((A29-2020)/20)</f>
        <v>-662.0163353242981</v>
      </c>
      <c r="H29" s="491">
        <f t="shared" si="6"/>
        <v>819792.57959238393</v>
      </c>
      <c r="I29" s="495">
        <f>(Input!$B$122*Input!$B$123)-(Input!$B$122*Input!$B$123)*0.25*((2030-A29)/10)</f>
        <v>-25.734672845244312</v>
      </c>
      <c r="J29" s="54">
        <v>0</v>
      </c>
      <c r="K29" s="690"/>
      <c r="L29" s="52">
        <f t="shared" si="1"/>
        <v>34986.806284103499</v>
      </c>
      <c r="M29" s="52">
        <f t="shared" si="2"/>
        <v>1496917.0223356856</v>
      </c>
      <c r="N29" s="52">
        <f t="shared" si="3"/>
        <v>1461930.216051582</v>
      </c>
      <c r="O29" s="712">
        <f t="shared" si="0"/>
        <v>0.21094688334521211</v>
      </c>
      <c r="Q29" s="393"/>
      <c r="R29" s="394"/>
    </row>
    <row r="30" spans="1:18" x14ac:dyDescent="0.2">
      <c r="A30" s="3">
        <v>2040</v>
      </c>
      <c r="B30" s="52">
        <v>0</v>
      </c>
      <c r="C30" s="484">
        <f t="shared" si="5"/>
        <v>165856</v>
      </c>
      <c r="D30" s="53">
        <f t="shared" si="4"/>
        <v>165856</v>
      </c>
      <c r="E30" s="679"/>
      <c r="F30" s="491">
        <f>(Input!$B$43)+(Input!$B$52-Input!$B$43)*((A30-2020)/20)</f>
        <v>6405178.5899973437</v>
      </c>
      <c r="G30" s="495">
        <f>(Input!$B$68)+(Input!$B$69-Input!$B$68)*((A30-2020)/20)</f>
        <v>-675.51576053499798</v>
      </c>
      <c r="H30" s="491">
        <f t="shared" si="6"/>
        <v>843566.56440056302</v>
      </c>
      <c r="I30" s="495">
        <f>(Input!$B$122*Input!$B$123)-(Input!$B$122*Input!$B$123)*0.25*((2030-A30)/10)</f>
        <v>-26.259870250249296</v>
      </c>
      <c r="J30" s="54">
        <f>N48*M48+N49*M49+N50*M50</f>
        <v>28967000</v>
      </c>
      <c r="K30" s="690"/>
      <c r="L30" s="52">
        <f t="shared" si="1"/>
        <v>32697.949798227572</v>
      </c>
      <c r="M30" s="52">
        <f t="shared" si="2"/>
        <v>7139673.3934229752</v>
      </c>
      <c r="N30" s="52">
        <f t="shared" si="3"/>
        <v>7106975.4436247479</v>
      </c>
      <c r="O30" s="712">
        <f t="shared" si="0"/>
        <v>0.19714661994879637</v>
      </c>
      <c r="Q30" s="393"/>
      <c r="R30" s="394"/>
    </row>
    <row r="31" spans="1:18" x14ac:dyDescent="0.2">
      <c r="A31" s="3">
        <v>2041</v>
      </c>
      <c r="B31" s="52"/>
      <c r="C31" s="484"/>
      <c r="D31" s="53"/>
      <c r="E31" s="679"/>
      <c r="F31" s="491"/>
      <c r="G31" s="495"/>
      <c r="H31" s="491"/>
      <c r="I31" s="495"/>
      <c r="J31" s="54"/>
      <c r="K31" s="690"/>
      <c r="L31" s="52"/>
      <c r="M31" s="52"/>
      <c r="N31" s="52"/>
      <c r="O31" s="712">
        <f t="shared" si="0"/>
        <v>0.18424917752223957</v>
      </c>
      <c r="Q31" s="393"/>
      <c r="R31" s="394"/>
    </row>
    <row r="32" spans="1:18" x14ac:dyDescent="0.2">
      <c r="A32" s="3">
        <v>2042</v>
      </c>
      <c r="B32" s="52"/>
      <c r="C32" s="484"/>
      <c r="D32" s="53"/>
      <c r="E32" s="679"/>
      <c r="F32" s="491"/>
      <c r="G32" s="495"/>
      <c r="H32" s="491"/>
      <c r="I32" s="495"/>
      <c r="J32" s="54"/>
      <c r="K32" s="690"/>
      <c r="L32" s="52"/>
      <c r="M32" s="52"/>
      <c r="N32" s="52"/>
      <c r="O32" s="712">
        <f t="shared" si="0"/>
        <v>0.17219549301143888</v>
      </c>
      <c r="Q32" s="393"/>
      <c r="R32" s="394"/>
    </row>
    <row r="33" spans="1:18" x14ac:dyDescent="0.2">
      <c r="A33" s="3">
        <v>2043</v>
      </c>
      <c r="B33" s="52"/>
      <c r="C33" s="484"/>
      <c r="D33" s="53"/>
      <c r="E33" s="679"/>
      <c r="F33" s="491"/>
      <c r="G33" s="495"/>
      <c r="H33" s="491"/>
      <c r="I33" s="495"/>
      <c r="J33" s="54"/>
      <c r="K33" s="690"/>
      <c r="L33" s="52"/>
      <c r="M33" s="52"/>
      <c r="N33" s="52"/>
      <c r="O33" s="712">
        <f t="shared" si="0"/>
        <v>0.16093036730041013</v>
      </c>
      <c r="Q33" s="393"/>
      <c r="R33" s="394"/>
    </row>
    <row r="34" spans="1:18" x14ac:dyDescent="0.2">
      <c r="A34" s="3">
        <v>2044</v>
      </c>
      <c r="B34" s="52"/>
      <c r="C34" s="484"/>
      <c r="D34" s="53"/>
      <c r="E34" s="679"/>
      <c r="F34" s="491"/>
      <c r="G34" s="495"/>
      <c r="H34" s="491"/>
      <c r="I34" s="495"/>
      <c r="J34" s="54"/>
      <c r="K34" s="690"/>
      <c r="L34" s="52"/>
      <c r="M34" s="52"/>
      <c r="N34" s="52"/>
      <c r="O34" s="712">
        <f t="shared" si="0"/>
        <v>0.15040221243028987</v>
      </c>
      <c r="Q34" s="393"/>
      <c r="R34" s="394"/>
    </row>
    <row r="35" spans="1:18" x14ac:dyDescent="0.2">
      <c r="A35" s="3">
        <v>2045</v>
      </c>
      <c r="B35" s="52"/>
      <c r="C35" s="484"/>
      <c r="D35" s="53"/>
      <c r="E35" s="679"/>
      <c r="F35" s="491"/>
      <c r="G35" s="495"/>
      <c r="H35" s="491"/>
      <c r="I35" s="495"/>
      <c r="J35" s="54"/>
      <c r="K35" s="690"/>
      <c r="L35" s="52"/>
      <c r="M35" s="52"/>
      <c r="N35" s="52"/>
      <c r="O35" s="712">
        <f t="shared" si="0"/>
        <v>0.1405628153554111</v>
      </c>
      <c r="Q35" s="393"/>
      <c r="R35" s="394"/>
    </row>
    <row r="36" spans="1:18" x14ac:dyDescent="0.2">
      <c r="A36" s="3">
        <v>2046</v>
      </c>
      <c r="B36" s="52"/>
      <c r="C36" s="484"/>
      <c r="D36" s="53"/>
      <c r="E36" s="679"/>
      <c r="F36" s="491"/>
      <c r="G36" s="495"/>
      <c r="H36" s="491"/>
      <c r="I36" s="495"/>
      <c r="J36" s="54"/>
      <c r="K36" s="690"/>
      <c r="L36" s="52"/>
      <c r="M36" s="52"/>
      <c r="N36" s="52"/>
      <c r="O36" s="712">
        <f t="shared" si="0"/>
        <v>0.13136711715458982</v>
      </c>
      <c r="Q36" s="393"/>
      <c r="R36" s="394"/>
    </row>
    <row r="37" spans="1:18" x14ac:dyDescent="0.2">
      <c r="B37" s="52"/>
      <c r="C37" s="484"/>
      <c r="D37" s="53"/>
      <c r="E37" s="693"/>
      <c r="F37" s="491"/>
      <c r="G37" s="495"/>
      <c r="H37" s="491"/>
      <c r="I37" s="495"/>
      <c r="J37" s="54"/>
      <c r="K37" s="694"/>
      <c r="L37" s="52"/>
      <c r="M37" s="52"/>
      <c r="N37" s="52"/>
      <c r="O37" s="57"/>
      <c r="Q37" s="393"/>
      <c r="R37" s="394"/>
    </row>
    <row r="38" spans="1:18" x14ac:dyDescent="0.2">
      <c r="F38" s="486"/>
      <c r="H38" s="486"/>
      <c r="I38" s="495"/>
      <c r="J38" s="4"/>
    </row>
    <row r="39" spans="1:18" x14ac:dyDescent="0.2">
      <c r="A39" s="3" t="s">
        <v>9</v>
      </c>
      <c r="B39" s="4">
        <f>SUM(B6:B30)</f>
        <v>65112000</v>
      </c>
      <c r="C39" s="486">
        <f>SUM(C6:C30)</f>
        <v>3482976</v>
      </c>
      <c r="D39" s="4">
        <f>SUM(D6:D30)</f>
        <v>68594976</v>
      </c>
      <c r="F39" s="486">
        <f t="shared" ref="F39:J39" si="7">SUM(F6:F30)</f>
        <v>107607000.31195539</v>
      </c>
      <c r="G39" s="495">
        <f t="shared" si="7"/>
        <v>-11350.95167698797</v>
      </c>
      <c r="H39" s="486">
        <f t="shared" si="7"/>
        <v>13510529.46362458</v>
      </c>
      <c r="I39" s="495">
        <f t="shared" si="7"/>
        <v>-443.79180722921313</v>
      </c>
      <c r="J39" s="4">
        <f t="shared" si="7"/>
        <v>28967000</v>
      </c>
      <c r="L39" s="4">
        <f>SUM(L6:L30)</f>
        <v>58706279.809994817</v>
      </c>
      <c r="M39" s="4">
        <f>SUM(M6:M30)</f>
        <v>53616314.699778885</v>
      </c>
      <c r="N39" s="4">
        <f>SUM(N6:N30)</f>
        <v>-5089965.1102159359</v>
      </c>
      <c r="Q39" s="391"/>
      <c r="R39" s="391"/>
    </row>
    <row r="40" spans="1:18" x14ac:dyDescent="0.2">
      <c r="G40" s="495"/>
      <c r="I40" s="480"/>
      <c r="J40" s="28"/>
      <c r="Q40" s="295"/>
    </row>
    <row r="41" spans="1:18" s="100" customFormat="1" ht="13.5" thickBot="1" x14ac:dyDescent="0.25">
      <c r="A41" s="475" t="s">
        <v>34</v>
      </c>
      <c r="B41" s="476">
        <f>NPV($N$42,B7:B30)+B6</f>
        <v>57239280.51183223</v>
      </c>
      <c r="C41" s="476">
        <f>NPV($N$42,C7:C30)+C6</f>
        <v>1466999.2981625923</v>
      </c>
      <c r="D41" s="476">
        <f>NPV($N$42,D7:D30)+D6</f>
        <v>58706279.809994824</v>
      </c>
      <c r="E41" s="476"/>
      <c r="F41" s="476">
        <f>NPV($N$42,F7:F30)+F6</f>
        <v>42602630.113449529</v>
      </c>
      <c r="G41" s="495">
        <f>NPV($N$42,G7:G30)+G6</f>
        <v>-4494.2383111660101</v>
      </c>
      <c r="H41" s="476">
        <f>NPV($N$42,H7:H30)+H6</f>
        <v>5307609.3496612459</v>
      </c>
      <c r="I41" s="495">
        <f>NPV($N$42,I7:I30)+I6</f>
        <v>-176.66507755929914</v>
      </c>
      <c r="J41" s="99">
        <f>NPV($N$42,J7:J30)+J6</f>
        <v>5710746.1400567759</v>
      </c>
      <c r="K41" s="475"/>
      <c r="L41" s="99"/>
      <c r="M41" s="99"/>
      <c r="N41" s="99"/>
    </row>
    <row r="42" spans="1:18" x14ac:dyDescent="0.2">
      <c r="G42" s="482"/>
      <c r="H42" s="456"/>
      <c r="I42" s="495"/>
      <c r="J42" s="18"/>
      <c r="M42" s="22" t="s">
        <v>13</v>
      </c>
      <c r="N42" s="23">
        <v>7.0000000000000007E-2</v>
      </c>
    </row>
    <row r="43" spans="1:18" x14ac:dyDescent="0.2">
      <c r="G43" s="482"/>
      <c r="H43" s="456"/>
      <c r="I43" s="495"/>
      <c r="J43" s="18"/>
      <c r="M43" s="24" t="s">
        <v>4</v>
      </c>
      <c r="N43" s="25">
        <f>+N39</f>
        <v>-5089965.1102159359</v>
      </c>
    </row>
    <row r="44" spans="1:18" ht="13.5" thickBot="1" x14ac:dyDescent="0.25">
      <c r="A44" s="10"/>
      <c r="G44" s="482"/>
      <c r="H44" s="456"/>
      <c r="I44" s="495"/>
      <c r="J44" s="18"/>
      <c r="M44" s="26" t="s">
        <v>5</v>
      </c>
      <c r="N44" s="27">
        <f>+M39/L39</f>
        <v>0.9132977745023223</v>
      </c>
    </row>
    <row r="45" spans="1:18" x14ac:dyDescent="0.2">
      <c r="G45" s="482"/>
      <c r="H45" s="456"/>
      <c r="I45" s="495"/>
      <c r="J45" s="18"/>
      <c r="M45" s="7"/>
      <c r="N45" s="7"/>
    </row>
    <row r="46" spans="1:18" x14ac:dyDescent="0.2">
      <c r="B46" s="10"/>
      <c r="C46" s="487"/>
      <c r="F46" s="493"/>
      <c r="H46" s="493"/>
      <c r="I46" s="495"/>
      <c r="L46" s="17" t="s">
        <v>28</v>
      </c>
      <c r="M46"/>
      <c r="N46" s="7" t="s">
        <v>29</v>
      </c>
    </row>
    <row r="47" spans="1:18" ht="13.5" thickBot="1" x14ac:dyDescent="0.25">
      <c r="B47" s="10"/>
      <c r="C47" s="487"/>
      <c r="I47" s="495"/>
      <c r="L47"/>
      <c r="M47"/>
    </row>
    <row r="48" spans="1:18" x14ac:dyDescent="0.2">
      <c r="B48" s="10"/>
      <c r="C48" s="488"/>
      <c r="I48" s="495"/>
      <c r="L48" t="s">
        <v>31</v>
      </c>
      <c r="M48" s="11">
        <v>1</v>
      </c>
      <c r="N48" s="14">
        <f>Input!B128</f>
        <v>6689000</v>
      </c>
      <c r="O48" s="226">
        <f>M48*N48</f>
        <v>6689000</v>
      </c>
    </row>
    <row r="49" spans="2:15" x14ac:dyDescent="0.2">
      <c r="B49" s="8"/>
      <c r="C49" s="488"/>
      <c r="I49" s="495"/>
      <c r="L49" t="s">
        <v>30</v>
      </c>
      <c r="M49" s="11">
        <v>0.5</v>
      </c>
      <c r="N49" s="15">
        <f>Input!B129</f>
        <v>24000000</v>
      </c>
      <c r="O49" s="226">
        <f>M49*N49</f>
        <v>12000000</v>
      </c>
    </row>
    <row r="50" spans="2:15" ht="13.5" thickBot="1" x14ac:dyDescent="0.25">
      <c r="B50" s="8"/>
      <c r="C50" s="488"/>
      <c r="I50" s="495"/>
      <c r="L50" t="s">
        <v>24</v>
      </c>
      <c r="M50" s="11">
        <v>0.25</v>
      </c>
      <c r="N50" s="16">
        <f>Input!B130</f>
        <v>41112000</v>
      </c>
      <c r="O50" s="226">
        <f>M50*N50</f>
        <v>10278000</v>
      </c>
    </row>
    <row r="51" spans="2:15" x14ac:dyDescent="0.2">
      <c r="I51" s="495"/>
      <c r="L51" t="s">
        <v>9</v>
      </c>
      <c r="M51"/>
      <c r="N51" s="12">
        <f>SUM(N48:N50)</f>
        <v>71801000</v>
      </c>
      <c r="O51" s="12">
        <f>SUM(O48:O50)</f>
        <v>28967000</v>
      </c>
    </row>
    <row r="52" spans="2:15" x14ac:dyDescent="0.2">
      <c r="I52" s="495"/>
      <c r="L52"/>
      <c r="M52"/>
      <c r="N52" s="13"/>
    </row>
    <row r="53" spans="2:15" x14ac:dyDescent="0.2">
      <c r="B53" s="58"/>
      <c r="C53" s="489"/>
      <c r="I53" s="495"/>
      <c r="L53"/>
    </row>
    <row r="54" spans="2:15" x14ac:dyDescent="0.2">
      <c r="B54" s="59"/>
      <c r="C54" s="490"/>
      <c r="I54" s="495"/>
    </row>
    <row r="55" spans="2:15" x14ac:dyDescent="0.2">
      <c r="B55" s="59"/>
      <c r="C55" s="490"/>
      <c r="I55" s="495"/>
    </row>
    <row r="56" spans="2:15" x14ac:dyDescent="0.2">
      <c r="B56" s="59"/>
      <c r="C56" s="490"/>
      <c r="I56" s="495"/>
    </row>
    <row r="57" spans="2:15" x14ac:dyDescent="0.2">
      <c r="I57" s="495"/>
    </row>
    <row r="58" spans="2:15" x14ac:dyDescent="0.2">
      <c r="I58" s="495"/>
    </row>
    <row r="59" spans="2:15" x14ac:dyDescent="0.2">
      <c r="I59" s="495"/>
    </row>
    <row r="60" spans="2:15" x14ac:dyDescent="0.2">
      <c r="I60" s="495"/>
    </row>
    <row r="61" spans="2:15" x14ac:dyDescent="0.2">
      <c r="I61" s="495"/>
    </row>
  </sheetData>
  <mergeCells count="6">
    <mergeCell ref="A1:N1"/>
    <mergeCell ref="A2:N2"/>
    <mergeCell ref="A3:N3"/>
    <mergeCell ref="B4:D4"/>
    <mergeCell ref="F4:J4"/>
    <mergeCell ref="L4:O4"/>
  </mergeCell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B34" sqref="B34"/>
    </sheetView>
  </sheetViews>
  <sheetFormatPr defaultRowHeight="12.75" x14ac:dyDescent="0.2"/>
  <cols>
    <col min="1" max="1" width="12" customWidth="1"/>
    <col min="2" max="2" width="26.5703125" bestFit="1" customWidth="1"/>
    <col min="3" max="3" width="15.42578125" bestFit="1" customWidth="1"/>
    <col min="4" max="4" width="6.5703125" bestFit="1" customWidth="1"/>
    <col min="5" max="5" width="4.7109375" bestFit="1" customWidth="1"/>
    <col min="6" max="6" width="7.42578125" bestFit="1" customWidth="1"/>
    <col min="7" max="7" width="7.28515625" customWidth="1"/>
    <col min="8" max="8" width="10.42578125" customWidth="1"/>
    <col min="9" max="9" width="6.5703125" bestFit="1" customWidth="1"/>
    <col min="10" max="10" width="4.7109375" bestFit="1" customWidth="1"/>
    <col min="11" max="11" width="11.5703125" bestFit="1" customWidth="1"/>
  </cols>
  <sheetData>
    <row r="1" spans="1:13" ht="13.5" thickBot="1" x14ac:dyDescent="0.25"/>
    <row r="2" spans="1:13" x14ac:dyDescent="0.2">
      <c r="D2" s="273" t="s">
        <v>225</v>
      </c>
      <c r="E2" s="163" t="s">
        <v>121</v>
      </c>
      <c r="F2" s="158">
        <v>2035</v>
      </c>
      <c r="G2" s="163" t="s">
        <v>121</v>
      </c>
      <c r="H2" s="183"/>
      <c r="I2" s="158">
        <f>F2</f>
        <v>2035</v>
      </c>
      <c r="J2" s="163" t="s">
        <v>121</v>
      </c>
    </row>
    <row r="3" spans="1:13" x14ac:dyDescent="0.2">
      <c r="C3" s="9" t="s">
        <v>134</v>
      </c>
      <c r="D3" s="160"/>
      <c r="E3" s="164"/>
      <c r="F3" s="272" t="s">
        <v>224</v>
      </c>
      <c r="G3" s="164"/>
      <c r="H3" s="184"/>
      <c r="I3" s="272" t="s">
        <v>180</v>
      </c>
      <c r="J3" s="164"/>
      <c r="L3" s="9" t="s">
        <v>130</v>
      </c>
    </row>
    <row r="4" spans="1:13" x14ac:dyDescent="0.2">
      <c r="A4" s="9" t="s">
        <v>129</v>
      </c>
      <c r="C4">
        <v>1.05</v>
      </c>
      <c r="D4" s="161">
        <v>16400</v>
      </c>
      <c r="E4" s="165" t="s">
        <v>115</v>
      </c>
      <c r="F4" s="171">
        <v>26500</v>
      </c>
      <c r="G4" s="165" t="s">
        <v>119</v>
      </c>
      <c r="H4" s="189"/>
      <c r="I4" s="171">
        <v>32000</v>
      </c>
      <c r="J4" s="165" t="s">
        <v>117</v>
      </c>
      <c r="K4" s="157"/>
      <c r="L4" s="157">
        <f t="shared" ref="L4:L10" si="0">F4-I4</f>
        <v>-5500</v>
      </c>
    </row>
    <row r="5" spans="1:13" ht="13.5" thickBot="1" x14ac:dyDescent="0.25">
      <c r="A5" t="s">
        <v>113</v>
      </c>
      <c r="B5" t="s">
        <v>122</v>
      </c>
      <c r="C5">
        <v>1.01</v>
      </c>
      <c r="D5" s="161">
        <v>2800</v>
      </c>
      <c r="E5" s="165" t="s">
        <v>116</v>
      </c>
      <c r="F5" s="161">
        <v>13700</v>
      </c>
      <c r="G5" s="165" t="s">
        <v>120</v>
      </c>
      <c r="H5" s="185"/>
      <c r="I5" s="161">
        <v>16000</v>
      </c>
      <c r="J5" s="165" t="s">
        <v>120</v>
      </c>
      <c r="L5" s="157">
        <f t="shared" si="0"/>
        <v>-2300</v>
      </c>
    </row>
    <row r="6" spans="1:13" ht="13.5" thickBot="1" x14ac:dyDescent="0.25">
      <c r="A6" t="s">
        <v>113</v>
      </c>
      <c r="B6" t="s">
        <v>123</v>
      </c>
      <c r="C6" s="192">
        <v>1.88</v>
      </c>
      <c r="D6" s="161">
        <v>12700</v>
      </c>
      <c r="E6" s="165" t="s">
        <v>117</v>
      </c>
      <c r="F6" s="171">
        <v>20400</v>
      </c>
      <c r="G6" s="165" t="s">
        <v>120</v>
      </c>
      <c r="H6" s="187">
        <f>F6</f>
        <v>20400</v>
      </c>
      <c r="I6" s="175">
        <v>7000</v>
      </c>
      <c r="J6" s="176" t="s">
        <v>118</v>
      </c>
      <c r="K6" s="157">
        <f>H6-I6</f>
        <v>13400</v>
      </c>
      <c r="L6" s="157">
        <f t="shared" si="0"/>
        <v>13400</v>
      </c>
    </row>
    <row r="7" spans="1:13" x14ac:dyDescent="0.2">
      <c r="A7" s="9" t="s">
        <v>114</v>
      </c>
      <c r="B7" t="s">
        <v>124</v>
      </c>
      <c r="C7" s="193">
        <v>0.45</v>
      </c>
      <c r="D7" s="161">
        <v>31700</v>
      </c>
      <c r="E7" s="165" t="s">
        <v>118</v>
      </c>
      <c r="F7" s="171">
        <v>35600</v>
      </c>
      <c r="G7" s="165" t="s">
        <v>119</v>
      </c>
      <c r="H7" s="159"/>
      <c r="I7" s="179">
        <v>36000</v>
      </c>
      <c r="J7" s="180" t="s">
        <v>119</v>
      </c>
      <c r="K7" s="159"/>
      <c r="L7" s="157">
        <f t="shared" si="0"/>
        <v>-400</v>
      </c>
    </row>
    <row r="8" spans="1:13" ht="13.5" thickBot="1" x14ac:dyDescent="0.25">
      <c r="A8" s="9" t="s">
        <v>114</v>
      </c>
      <c r="B8" t="s">
        <v>125</v>
      </c>
      <c r="C8" s="194">
        <v>1.45</v>
      </c>
      <c r="D8" s="161">
        <v>36200</v>
      </c>
      <c r="E8" s="165" t="s">
        <v>119</v>
      </c>
      <c r="F8" s="171">
        <v>51600</v>
      </c>
      <c r="G8" s="165" t="s">
        <v>120</v>
      </c>
      <c r="H8" s="188">
        <f>(F7++F8+F9)/3</f>
        <v>43366.666666666664</v>
      </c>
      <c r="I8" s="171">
        <v>35000</v>
      </c>
      <c r="J8" s="165" t="s">
        <v>119</v>
      </c>
      <c r="K8" s="182">
        <f>H8-((I7++I8+I9)/3)</f>
        <v>10699.999999999996</v>
      </c>
      <c r="L8" s="157">
        <f t="shared" si="0"/>
        <v>16600</v>
      </c>
    </row>
    <row r="9" spans="1:13" ht="13.5" thickBot="1" x14ac:dyDescent="0.25">
      <c r="A9" s="9" t="s">
        <v>114</v>
      </c>
      <c r="B9" t="s">
        <v>126</v>
      </c>
      <c r="C9" s="190">
        <v>0.3</v>
      </c>
      <c r="D9" s="161">
        <v>28600</v>
      </c>
      <c r="E9" s="165" t="s">
        <v>118</v>
      </c>
      <c r="F9" s="171">
        <v>42900</v>
      </c>
      <c r="G9" s="165" t="s">
        <v>117</v>
      </c>
      <c r="H9" s="181"/>
      <c r="I9" s="172">
        <v>27000</v>
      </c>
      <c r="J9" s="166" t="s">
        <v>118</v>
      </c>
      <c r="K9" s="181"/>
      <c r="L9" s="157">
        <f t="shared" si="0"/>
        <v>15900</v>
      </c>
    </row>
    <row r="10" spans="1:13" ht="13.5" thickBot="1" x14ac:dyDescent="0.25">
      <c r="A10" s="9" t="s">
        <v>114</v>
      </c>
      <c r="B10" t="s">
        <v>127</v>
      </c>
      <c r="D10" s="162">
        <v>42900</v>
      </c>
      <c r="E10" s="166" t="s">
        <v>117</v>
      </c>
      <c r="F10" s="162">
        <v>42900</v>
      </c>
      <c r="G10" s="166" t="s">
        <v>117</v>
      </c>
      <c r="H10" s="186"/>
      <c r="I10" s="177">
        <v>44000</v>
      </c>
      <c r="J10" s="178" t="s">
        <v>117</v>
      </c>
      <c r="L10" s="157">
        <f t="shared" si="0"/>
        <v>-1100</v>
      </c>
    </row>
    <row r="11" spans="1:13" ht="13.5" thickBot="1" x14ac:dyDescent="0.25">
      <c r="A11" s="9" t="s">
        <v>128</v>
      </c>
      <c r="D11" s="167"/>
      <c r="E11" s="168"/>
      <c r="F11" s="168" t="s">
        <v>140</v>
      </c>
      <c r="G11" s="168"/>
      <c r="H11" s="168" t="s">
        <v>141</v>
      </c>
      <c r="I11" s="169">
        <v>22000</v>
      </c>
      <c r="J11" s="170" t="s">
        <v>118</v>
      </c>
      <c r="K11" s="157"/>
    </row>
    <row r="12" spans="1:13" x14ac:dyDescent="0.2">
      <c r="B12" s="174" t="s">
        <v>136</v>
      </c>
      <c r="C12" s="191">
        <f>SUM(C6:C8)</f>
        <v>3.7800000000000002</v>
      </c>
      <c r="J12" s="9"/>
    </row>
    <row r="13" spans="1:13" x14ac:dyDescent="0.2">
      <c r="C13">
        <f>Input!B6</f>
        <v>8</v>
      </c>
    </row>
    <row r="14" spans="1:13" ht="15" x14ac:dyDescent="0.25">
      <c r="C14">
        <f>C13-C12</f>
        <v>4.22</v>
      </c>
      <c r="H14" s="145">
        <f>SUM(H4:H10)</f>
        <v>63766.666666666664</v>
      </c>
      <c r="I14" s="145"/>
      <c r="J14" s="145"/>
      <c r="K14" s="145">
        <f>SUM(K4:K10)</f>
        <v>24099.999999999996</v>
      </c>
      <c r="L14" s="121" t="s">
        <v>111</v>
      </c>
      <c r="M14" s="121"/>
    </row>
    <row r="15" spans="1:13" ht="15" x14ac:dyDescent="0.25">
      <c r="K15" s="145">
        <f>K14*365</f>
        <v>8796499.9999999981</v>
      </c>
      <c r="L15" t="s">
        <v>112</v>
      </c>
    </row>
    <row r="16" spans="1:13" x14ac:dyDescent="0.2">
      <c r="I16" s="174" t="s">
        <v>133</v>
      </c>
      <c r="J16">
        <f>C12-C13</f>
        <v>-4.22</v>
      </c>
      <c r="K16" s="146">
        <f>K15*J16</f>
        <v>-37121229.999999993</v>
      </c>
    </row>
    <row r="19" spans="2:2" x14ac:dyDescent="0.2">
      <c r="B19" s="9" t="s">
        <v>135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G15"/>
  <sheetViews>
    <sheetView workbookViewId="0">
      <selection activeCell="C25" sqref="C25"/>
    </sheetView>
  </sheetViews>
  <sheetFormatPr defaultRowHeight="12.75" x14ac:dyDescent="0.2"/>
  <cols>
    <col min="2" max="2" width="13.42578125" customWidth="1"/>
    <col min="3" max="3" width="17" customWidth="1"/>
    <col min="4" max="4" width="22.140625" bestFit="1" customWidth="1"/>
    <col min="5" max="5" width="26.140625" bestFit="1" customWidth="1"/>
    <col min="6" max="6" width="10.85546875" bestFit="1" customWidth="1"/>
    <col min="7" max="7" width="13.42578125" customWidth="1"/>
  </cols>
  <sheetData>
    <row r="4" spans="2:7" ht="15" x14ac:dyDescent="0.2">
      <c r="B4" s="196"/>
    </row>
    <row r="5" spans="2:7" ht="15.75" thickBot="1" x14ac:dyDescent="0.25">
      <c r="B5" s="196"/>
    </row>
    <row r="6" spans="2:7" ht="13.5" thickBot="1" x14ac:dyDescent="0.25">
      <c r="B6" s="1034" t="s">
        <v>142</v>
      </c>
      <c r="C6" s="1035"/>
      <c r="D6" s="198" t="s">
        <v>143</v>
      </c>
      <c r="E6" s="198" t="s">
        <v>144</v>
      </c>
      <c r="F6" s="198" t="s">
        <v>145</v>
      </c>
    </row>
    <row r="7" spans="2:7" ht="13.5" thickBot="1" x14ac:dyDescent="0.25">
      <c r="B7" s="1036" t="s">
        <v>146</v>
      </c>
      <c r="C7" s="1037"/>
      <c r="D7" s="199">
        <v>2604</v>
      </c>
      <c r="E7" s="199">
        <v>45939</v>
      </c>
      <c r="F7" s="199">
        <v>48543</v>
      </c>
      <c r="G7" s="18"/>
    </row>
    <row r="8" spans="2:7" ht="13.5" thickBot="1" x14ac:dyDescent="0.25">
      <c r="B8" s="1038" t="s">
        <v>147</v>
      </c>
      <c r="C8" s="1039"/>
      <c r="D8" s="199">
        <v>1368</v>
      </c>
      <c r="E8" s="199">
        <v>19788</v>
      </c>
      <c r="F8" s="199">
        <v>21156</v>
      </c>
      <c r="G8" s="18"/>
    </row>
    <row r="9" spans="2:7" ht="13.5" thickBot="1" x14ac:dyDescent="0.25">
      <c r="B9" s="1040" t="s">
        <v>148</v>
      </c>
      <c r="C9" s="197" t="s">
        <v>149</v>
      </c>
      <c r="D9" s="199">
        <v>1175</v>
      </c>
      <c r="E9" s="199">
        <v>11912</v>
      </c>
      <c r="F9" s="199">
        <v>13086</v>
      </c>
      <c r="G9" s="18"/>
    </row>
    <row r="10" spans="2:7" ht="13.5" thickBot="1" x14ac:dyDescent="0.25">
      <c r="B10" s="1041"/>
      <c r="C10" s="202" t="s">
        <v>150</v>
      </c>
      <c r="D10" s="199">
        <v>1058</v>
      </c>
      <c r="E10" s="199">
        <v>4125</v>
      </c>
      <c r="F10" s="201">
        <v>5183</v>
      </c>
      <c r="G10" s="18"/>
    </row>
    <row r="12" spans="2:7" ht="15" x14ac:dyDescent="0.2">
      <c r="B12" s="200" t="s">
        <v>152</v>
      </c>
    </row>
    <row r="13" spans="2:7" ht="15" x14ac:dyDescent="0.2">
      <c r="B13" s="200"/>
    </row>
    <row r="14" spans="2:7" ht="15" x14ac:dyDescent="0.2">
      <c r="B14" s="196" t="s">
        <v>151</v>
      </c>
    </row>
    <row r="15" spans="2:7" ht="15" x14ac:dyDescent="0.2">
      <c r="B15" s="196"/>
    </row>
  </sheetData>
  <mergeCells count="4">
    <mergeCell ref="B6:C6"/>
    <mergeCell ref="B7:C7"/>
    <mergeCell ref="B8:C8"/>
    <mergeCell ref="B9:B10"/>
  </mergeCells>
  <pageMargins left="0.7" right="0.7" top="0.75" bottom="0.75" header="0.3" footer="0.3"/>
  <pageSetup paperSize="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F33"/>
  <sheetViews>
    <sheetView workbookViewId="0">
      <selection activeCell="E17" sqref="E17"/>
    </sheetView>
  </sheetViews>
  <sheetFormatPr defaultRowHeight="12.75" x14ac:dyDescent="0.2"/>
  <cols>
    <col min="3" max="3" width="27.42578125" bestFit="1" customWidth="1"/>
    <col min="4" max="4" width="15" style="204" bestFit="1" customWidth="1"/>
    <col min="5" max="5" width="12.28515625" bestFit="1" customWidth="1"/>
    <col min="6" max="6" width="12.85546875" bestFit="1" customWidth="1"/>
  </cols>
  <sheetData>
    <row r="5" spans="3:6" x14ac:dyDescent="0.2">
      <c r="C5" s="9" t="s">
        <v>155</v>
      </c>
      <c r="D5" s="204">
        <f>D23+D25</f>
        <v>4933000</v>
      </c>
      <c r="E5" s="9" t="s">
        <v>202</v>
      </c>
    </row>
    <row r="7" spans="3:6" x14ac:dyDescent="0.2">
      <c r="C7" s="9" t="s">
        <v>154</v>
      </c>
      <c r="E7" s="207"/>
      <c r="F7" s="206"/>
    </row>
    <row r="9" spans="3:6" x14ac:dyDescent="0.2">
      <c r="C9" s="9" t="s">
        <v>156</v>
      </c>
      <c r="D9" s="204">
        <f>D27</f>
        <v>6689000</v>
      </c>
      <c r="E9" s="9" t="s">
        <v>202</v>
      </c>
    </row>
    <row r="11" spans="3:6" x14ac:dyDescent="0.2">
      <c r="C11" s="9" t="s">
        <v>24</v>
      </c>
      <c r="D11" s="204">
        <v>43596000</v>
      </c>
      <c r="E11" s="243" t="s">
        <v>201</v>
      </c>
    </row>
    <row r="13" spans="3:6" x14ac:dyDescent="0.2">
      <c r="C13" s="191" t="s">
        <v>153</v>
      </c>
      <c r="D13" s="205"/>
      <c r="E13" s="253">
        <v>68962000</v>
      </c>
    </row>
    <row r="15" spans="3:6" x14ac:dyDescent="0.2">
      <c r="D15" s="255" t="s">
        <v>205</v>
      </c>
      <c r="E15" s="242">
        <f>D33</f>
        <v>18202000</v>
      </c>
    </row>
    <row r="17" spans="2:5" x14ac:dyDescent="0.2">
      <c r="D17" s="255" t="s">
        <v>206</v>
      </c>
      <c r="E17" s="242">
        <v>61646000</v>
      </c>
    </row>
    <row r="19" spans="2:5" ht="15" x14ac:dyDescent="0.2">
      <c r="C19" s="200" t="s">
        <v>196</v>
      </c>
    </row>
    <row r="20" spans="2:5" ht="15" x14ac:dyDescent="0.2">
      <c r="C20" s="200"/>
    </row>
    <row r="21" spans="2:5" ht="15" x14ac:dyDescent="0.2">
      <c r="B21" s="10"/>
      <c r="C21" s="254" t="s">
        <v>204</v>
      </c>
      <c r="D21" s="204">
        <v>7316000</v>
      </c>
    </row>
    <row r="22" spans="2:5" ht="15" x14ac:dyDescent="0.2">
      <c r="B22" s="10"/>
      <c r="C22" s="254"/>
    </row>
    <row r="23" spans="2:5" ht="15" x14ac:dyDescent="0.2">
      <c r="B23" s="254" t="s">
        <v>197</v>
      </c>
      <c r="C23" s="10"/>
      <c r="D23" s="204">
        <v>2019000</v>
      </c>
    </row>
    <row r="24" spans="2:5" ht="15" x14ac:dyDescent="0.2">
      <c r="B24" s="254"/>
      <c r="C24" s="10"/>
    </row>
    <row r="25" spans="2:5" ht="15" x14ac:dyDescent="0.2">
      <c r="B25" s="254" t="s">
        <v>198</v>
      </c>
      <c r="C25" s="10"/>
      <c r="D25" s="204">
        <v>2914000</v>
      </c>
    </row>
    <row r="26" spans="2:5" ht="15" x14ac:dyDescent="0.2">
      <c r="B26" s="254"/>
      <c r="C26" s="10"/>
    </row>
    <row r="27" spans="2:5" ht="15" x14ac:dyDescent="0.2">
      <c r="B27" s="254" t="s">
        <v>199</v>
      </c>
      <c r="C27" s="10"/>
      <c r="D27" s="204">
        <v>6689000</v>
      </c>
    </row>
    <row r="28" spans="2:5" ht="15" x14ac:dyDescent="0.2">
      <c r="B28" s="254"/>
      <c r="C28" s="10"/>
    </row>
    <row r="29" spans="2:5" ht="15" x14ac:dyDescent="0.2">
      <c r="B29" s="254" t="s">
        <v>200</v>
      </c>
      <c r="C29" s="10"/>
      <c r="D29" s="204">
        <v>4932000</v>
      </c>
    </row>
    <row r="31" spans="2:5" x14ac:dyDescent="0.2">
      <c r="C31" s="9" t="s">
        <v>217</v>
      </c>
      <c r="D31" s="204">
        <v>1021000</v>
      </c>
    </row>
    <row r="33" spans="4:6" x14ac:dyDescent="0.2">
      <c r="D33" s="205">
        <f>D29+D25+D23+D21+D31</f>
        <v>18202000</v>
      </c>
      <c r="E33" s="204"/>
      <c r="F33" s="207"/>
    </row>
  </sheetData>
  <pageMargins left="0.7" right="0.7" top="0.75" bottom="0.75" header="0.3" footer="0.3"/>
  <pageSetup paperSize="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9"/>
  <sheetViews>
    <sheetView topLeftCell="A20" workbookViewId="0">
      <selection activeCell="A37" sqref="A2:F37"/>
    </sheetView>
  </sheetViews>
  <sheetFormatPr defaultRowHeight="12.75" x14ac:dyDescent="0.2"/>
  <cols>
    <col min="1" max="1" width="45.5703125" customWidth="1"/>
    <col min="4" max="4" width="11.85546875" bestFit="1" customWidth="1"/>
    <col min="5" max="5" width="10.28515625" customWidth="1"/>
    <col min="6" max="6" width="11.7109375" bestFit="1" customWidth="1"/>
    <col min="7" max="7" width="10.140625" bestFit="1" customWidth="1"/>
    <col min="8" max="8" width="11.7109375" bestFit="1" customWidth="1"/>
  </cols>
  <sheetData>
    <row r="2" spans="1:6" ht="18.75" x14ac:dyDescent="0.3">
      <c r="A2" s="501" t="s">
        <v>436</v>
      </c>
      <c r="B2" s="229"/>
      <c r="C2" s="229"/>
      <c r="D2" s="229"/>
      <c r="E2" s="229"/>
      <c r="F2" s="230"/>
    </row>
    <row r="3" spans="1:6" x14ac:dyDescent="0.2">
      <c r="A3" s="215"/>
      <c r="B3" s="18"/>
      <c r="C3" s="18"/>
      <c r="D3" s="18"/>
      <c r="E3" s="18"/>
      <c r="F3" s="216"/>
    </row>
    <row r="4" spans="1:6" ht="15" x14ac:dyDescent="0.25">
      <c r="A4" s="502" t="s">
        <v>437</v>
      </c>
      <c r="B4" s="510" t="s">
        <v>438</v>
      </c>
      <c r="C4" s="18"/>
      <c r="D4" s="18"/>
      <c r="E4" s="18"/>
      <c r="F4" s="216"/>
    </row>
    <row r="5" spans="1:6" ht="15" x14ac:dyDescent="0.25">
      <c r="A5" s="502" t="s">
        <v>258</v>
      </c>
      <c r="B5" s="18"/>
      <c r="C5" s="18" t="s">
        <v>439</v>
      </c>
      <c r="D5" s="18"/>
      <c r="F5" s="216"/>
    </row>
    <row r="6" spans="1:6" ht="15" x14ac:dyDescent="0.25">
      <c r="A6" s="502" t="s">
        <v>441</v>
      </c>
      <c r="B6" s="18" t="s">
        <v>442</v>
      </c>
      <c r="C6" s="18"/>
      <c r="D6" s="18"/>
      <c r="F6" s="216"/>
    </row>
    <row r="7" spans="1:6" ht="15" x14ac:dyDescent="0.25">
      <c r="A7" s="502" t="s">
        <v>444</v>
      </c>
      <c r="B7" s="18" t="s">
        <v>445</v>
      </c>
      <c r="C7" s="18"/>
      <c r="D7" s="18"/>
      <c r="E7" s="1042" t="s">
        <v>440</v>
      </c>
      <c r="F7" s="1043"/>
    </row>
    <row r="8" spans="1:6" ht="15" x14ac:dyDescent="0.25">
      <c r="A8" s="215"/>
      <c r="B8" s="18"/>
      <c r="C8" s="18"/>
      <c r="D8" s="18"/>
      <c r="E8" s="1042" t="s">
        <v>443</v>
      </c>
      <c r="F8" s="1043"/>
    </row>
    <row r="9" spans="1:6" ht="15" x14ac:dyDescent="0.25">
      <c r="A9" s="502" t="s">
        <v>462</v>
      </c>
      <c r="B9" s="18"/>
      <c r="C9" s="18"/>
      <c r="D9" s="18"/>
      <c r="E9" s="18"/>
      <c r="F9" s="216"/>
    </row>
    <row r="10" spans="1:6" ht="15" x14ac:dyDescent="0.25">
      <c r="A10" s="503" t="s">
        <v>446</v>
      </c>
      <c r="B10" s="18"/>
      <c r="C10" s="18"/>
      <c r="D10" s="420">
        <v>117056</v>
      </c>
      <c r="E10" s="18"/>
      <c r="F10" s="504">
        <v>117056</v>
      </c>
    </row>
    <row r="11" spans="1:6" ht="15" x14ac:dyDescent="0.25">
      <c r="A11" s="505" t="s">
        <v>447</v>
      </c>
      <c r="B11" s="18"/>
      <c r="C11" s="18"/>
      <c r="D11" s="420">
        <v>292640</v>
      </c>
      <c r="E11" s="18"/>
      <c r="F11" s="504">
        <v>409696</v>
      </c>
    </row>
    <row r="12" spans="1:6" ht="15" x14ac:dyDescent="0.25">
      <c r="A12" s="470" t="s">
        <v>448</v>
      </c>
      <c r="B12" s="18"/>
      <c r="C12" s="18"/>
      <c r="D12" s="420">
        <v>0</v>
      </c>
      <c r="E12" s="18"/>
      <c r="F12" s="504">
        <v>585280</v>
      </c>
    </row>
    <row r="13" spans="1:6" ht="15" x14ac:dyDescent="0.25">
      <c r="A13" s="505" t="s">
        <v>449</v>
      </c>
      <c r="B13" s="18"/>
      <c r="C13" s="18"/>
      <c r="D13" s="420">
        <v>175584</v>
      </c>
      <c r="E13" s="18"/>
      <c r="F13" s="504">
        <v>585280</v>
      </c>
    </row>
    <row r="14" spans="1:6" ht="15" x14ac:dyDescent="0.25">
      <c r="A14" s="503" t="s">
        <v>450</v>
      </c>
      <c r="B14" s="18"/>
      <c r="C14" s="18"/>
      <c r="D14" s="420">
        <v>585280</v>
      </c>
      <c r="E14" s="18"/>
      <c r="F14" s="504">
        <v>1170560</v>
      </c>
    </row>
    <row r="15" spans="1:6" ht="15" x14ac:dyDescent="0.25">
      <c r="A15" s="506" t="s">
        <v>451</v>
      </c>
      <c r="B15" s="18"/>
      <c r="C15" s="18"/>
      <c r="D15" s="354">
        <v>7316000</v>
      </c>
      <c r="E15" s="18"/>
      <c r="F15" s="504">
        <v>8486560</v>
      </c>
    </row>
    <row r="16" spans="1:6" ht="15" x14ac:dyDescent="0.25">
      <c r="A16" s="502" t="s">
        <v>452</v>
      </c>
      <c r="B16" s="18"/>
      <c r="C16" s="18"/>
      <c r="D16" s="507">
        <f>SUM(D10:D15)</f>
        <v>8486560</v>
      </c>
      <c r="E16" s="18"/>
      <c r="F16" s="216"/>
    </row>
    <row r="17" spans="1:6" x14ac:dyDescent="0.2">
      <c r="A17" s="215"/>
      <c r="B17" s="18"/>
      <c r="C17" s="18"/>
      <c r="D17" s="18"/>
      <c r="E17" s="18"/>
      <c r="F17" s="216"/>
    </row>
    <row r="18" spans="1:6" ht="15" x14ac:dyDescent="0.25">
      <c r="A18" s="502" t="s">
        <v>453</v>
      </c>
      <c r="B18" s="18"/>
      <c r="C18" s="18"/>
      <c r="D18" s="18"/>
      <c r="E18" s="18"/>
      <c r="F18" s="216"/>
    </row>
    <row r="19" spans="1:6" ht="15" x14ac:dyDescent="0.25">
      <c r="A19" s="215" t="s">
        <v>454</v>
      </c>
      <c r="B19" s="18"/>
      <c r="C19" s="18"/>
      <c r="D19" s="420">
        <v>1708509</v>
      </c>
      <c r="E19" s="18"/>
      <c r="F19" s="504">
        <v>10195069</v>
      </c>
    </row>
    <row r="20" spans="1:6" ht="15" x14ac:dyDescent="0.25">
      <c r="A20" s="215" t="s">
        <v>455</v>
      </c>
      <c r="B20" s="18"/>
      <c r="C20" s="18"/>
      <c r="D20" s="420">
        <v>1317993</v>
      </c>
      <c r="E20" s="18"/>
      <c r="F20" s="504">
        <v>11513062</v>
      </c>
    </row>
    <row r="21" spans="1:6" ht="15" x14ac:dyDescent="0.25">
      <c r="A21" s="215" t="s">
        <v>448</v>
      </c>
      <c r="B21" s="18"/>
      <c r="C21" s="18"/>
      <c r="D21" s="420">
        <v>6688129</v>
      </c>
      <c r="E21" s="18"/>
      <c r="F21" s="504">
        <v>18201191</v>
      </c>
    </row>
    <row r="22" spans="1:6" x14ac:dyDescent="0.2">
      <c r="A22" s="215" t="s">
        <v>449</v>
      </c>
      <c r="B22" s="18"/>
      <c r="C22" s="18"/>
      <c r="D22" s="420">
        <v>878662</v>
      </c>
      <c r="E22" s="18"/>
      <c r="F22" s="216"/>
    </row>
    <row r="23" spans="1:6" x14ac:dyDescent="0.2">
      <c r="A23" s="215" t="s">
        <v>450</v>
      </c>
      <c r="B23" s="18"/>
      <c r="C23" s="18"/>
      <c r="D23" s="420">
        <v>3905164</v>
      </c>
      <c r="E23" s="18"/>
      <c r="F23" s="216"/>
    </row>
    <row r="24" spans="1:6" ht="15" x14ac:dyDescent="0.25">
      <c r="A24" s="215" t="s">
        <v>456</v>
      </c>
      <c r="B24" s="18"/>
      <c r="C24" s="18"/>
      <c r="D24" s="354">
        <v>48814544</v>
      </c>
      <c r="E24" s="18"/>
      <c r="F24" s="216"/>
    </row>
    <row r="25" spans="1:6" ht="15" x14ac:dyDescent="0.25">
      <c r="A25" s="502" t="s">
        <v>457</v>
      </c>
      <c r="B25" s="18"/>
      <c r="C25" s="18"/>
      <c r="D25" s="420">
        <f>SUM(D19:D24)</f>
        <v>63313001</v>
      </c>
      <c r="E25" s="18"/>
      <c r="F25" s="216"/>
    </row>
    <row r="26" spans="1:6" x14ac:dyDescent="0.2">
      <c r="A26" s="215"/>
      <c r="B26" s="18"/>
      <c r="C26" s="18"/>
      <c r="D26" s="18"/>
      <c r="E26" s="18"/>
      <c r="F26" s="216"/>
    </row>
    <row r="27" spans="1:6" ht="15" x14ac:dyDescent="0.25">
      <c r="A27" s="502" t="s">
        <v>458</v>
      </c>
      <c r="B27" s="18"/>
      <c r="C27" s="18"/>
      <c r="D27" s="18"/>
      <c r="E27" s="18"/>
      <c r="F27" s="216"/>
    </row>
    <row r="28" spans="1:6" x14ac:dyDescent="0.2">
      <c r="A28" s="215" t="s">
        <v>454</v>
      </c>
      <c r="B28" s="18"/>
      <c r="C28" s="18"/>
      <c r="D28" s="511">
        <v>1826000</v>
      </c>
      <c r="E28" s="18"/>
      <c r="F28" s="216"/>
    </row>
    <row r="29" spans="1:6" x14ac:dyDescent="0.2">
      <c r="A29" s="503" t="s">
        <v>447</v>
      </c>
      <c r="B29" s="18"/>
      <c r="C29" s="18"/>
      <c r="D29" s="511">
        <v>1611000</v>
      </c>
      <c r="E29" s="18"/>
      <c r="F29" s="216"/>
    </row>
    <row r="30" spans="1:6" x14ac:dyDescent="0.2">
      <c r="A30" s="503" t="s">
        <v>448</v>
      </c>
      <c r="B30" s="18"/>
      <c r="C30" s="18"/>
      <c r="D30" s="511">
        <v>6689000</v>
      </c>
      <c r="E30" s="18"/>
      <c r="F30" s="216"/>
    </row>
    <row r="31" spans="1:6" x14ac:dyDescent="0.2">
      <c r="A31" s="503" t="s">
        <v>449</v>
      </c>
      <c r="B31" s="18"/>
      <c r="C31" s="18"/>
      <c r="D31" s="511">
        <v>1055000</v>
      </c>
      <c r="E31" s="18"/>
      <c r="F31" s="216"/>
    </row>
    <row r="32" spans="1:6" x14ac:dyDescent="0.2">
      <c r="A32" s="503" t="s">
        <v>450</v>
      </c>
      <c r="B32" s="18"/>
      <c r="C32" s="18"/>
      <c r="D32" s="511">
        <v>4491000</v>
      </c>
      <c r="E32" s="18"/>
      <c r="F32" s="216"/>
    </row>
    <row r="33" spans="1:8" ht="15" x14ac:dyDescent="0.25">
      <c r="A33" s="506" t="s">
        <v>459</v>
      </c>
      <c r="B33" s="18"/>
      <c r="C33" s="18"/>
      <c r="D33" s="511">
        <v>56129000</v>
      </c>
      <c r="E33" s="18"/>
      <c r="F33" s="216"/>
    </row>
    <row r="34" spans="1:8" ht="15" x14ac:dyDescent="0.25">
      <c r="A34" s="502" t="s">
        <v>460</v>
      </c>
      <c r="B34" s="18"/>
      <c r="C34" s="18"/>
      <c r="D34" s="511">
        <f>SUM(D28:D33)</f>
        <v>71801000</v>
      </c>
      <c r="E34" s="18"/>
      <c r="F34" s="216"/>
    </row>
    <row r="35" spans="1:8" x14ac:dyDescent="0.2">
      <c r="A35" s="215"/>
      <c r="B35" s="18"/>
      <c r="C35" s="18"/>
      <c r="E35" s="18"/>
      <c r="F35" s="216"/>
      <c r="H35" s="353">
        <f>D39-F21</f>
        <v>46910809</v>
      </c>
    </row>
    <row r="36" spans="1:8" x14ac:dyDescent="0.2">
      <c r="A36" s="215"/>
      <c r="B36" s="18"/>
      <c r="C36" s="18"/>
      <c r="D36" s="18"/>
      <c r="E36" s="18"/>
      <c r="F36" s="216"/>
    </row>
    <row r="37" spans="1:8" ht="15" x14ac:dyDescent="0.25">
      <c r="A37" s="508" t="s">
        <v>461</v>
      </c>
      <c r="B37" s="252"/>
      <c r="C37" s="252"/>
      <c r="D37" s="509">
        <v>71800000</v>
      </c>
      <c r="E37" s="252"/>
      <c r="F37" s="320"/>
    </row>
    <row r="39" spans="1:8" x14ac:dyDescent="0.2">
      <c r="D39" s="420">
        <f>D34-D30</f>
        <v>65112000</v>
      </c>
      <c r="H39" s="353">
        <f>F21+H35</f>
        <v>65112000</v>
      </c>
    </row>
  </sheetData>
  <mergeCells count="2">
    <mergeCell ref="E7:F7"/>
    <mergeCell ref="E8:F8"/>
  </mergeCells>
  <pageMargins left="0.7" right="0.7" top="0.75" bottom="0.75" header="0.3" footer="0.3"/>
  <pageSetup paperSize="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U43"/>
  <sheetViews>
    <sheetView topLeftCell="A7" workbookViewId="0">
      <selection activeCell="F41" sqref="F41"/>
    </sheetView>
  </sheetViews>
  <sheetFormatPr defaultRowHeight="12.75" x14ac:dyDescent="0.2"/>
  <cols>
    <col min="3" max="3" width="12.140625" bestFit="1" customWidth="1"/>
    <col min="4" max="4" width="9.7109375" customWidth="1"/>
    <col min="5" max="5" width="6" bestFit="1" customWidth="1"/>
    <col min="6" max="6" width="9.28515625" bestFit="1" customWidth="1"/>
    <col min="7" max="7" width="15.7109375" customWidth="1"/>
    <col min="8" max="8" width="10.140625" bestFit="1" customWidth="1"/>
    <col min="9" max="9" width="10.140625" customWidth="1"/>
    <col min="10" max="10" width="11.42578125" bestFit="1" customWidth="1"/>
    <col min="11" max="11" width="12" bestFit="1" customWidth="1"/>
    <col min="12" max="12" width="10.85546875" customWidth="1"/>
    <col min="13" max="13" width="10.5703125" bestFit="1" customWidth="1"/>
    <col min="14" max="14" width="11.42578125" bestFit="1" customWidth="1"/>
    <col min="15" max="15" width="12" bestFit="1" customWidth="1"/>
  </cols>
  <sheetData>
    <row r="1" spans="3:21" x14ac:dyDescent="0.2">
      <c r="D1" s="3" t="s">
        <v>183</v>
      </c>
      <c r="E1" s="3"/>
      <c r="F1" s="11">
        <v>0.05</v>
      </c>
      <c r="G1" s="3" t="s">
        <v>182</v>
      </c>
      <c r="H1" s="3"/>
      <c r="I1" s="3"/>
      <c r="J1" s="257">
        <v>200</v>
      </c>
      <c r="K1" s="185" t="s">
        <v>210</v>
      </c>
      <c r="L1" s="258" t="s">
        <v>209</v>
      </c>
      <c r="M1" s="123">
        <v>0.66</v>
      </c>
    </row>
    <row r="2" spans="3:21" x14ac:dyDescent="0.2">
      <c r="D2" s="3"/>
      <c r="E2" s="3"/>
      <c r="F2" s="11"/>
      <c r="G2" s="3"/>
      <c r="H2" s="3"/>
      <c r="I2" s="3"/>
      <c r="J2" s="3"/>
      <c r="K2" s="3"/>
      <c r="L2" s="10"/>
    </row>
    <row r="3" spans="3:21" x14ac:dyDescent="0.2">
      <c r="F3" s="228" t="s">
        <v>176</v>
      </c>
      <c r="G3" s="229"/>
      <c r="H3" s="229"/>
      <c r="I3" s="229"/>
      <c r="J3" s="229"/>
      <c r="K3" s="230"/>
      <c r="L3" s="228" t="s">
        <v>180</v>
      </c>
      <c r="M3" s="229"/>
      <c r="N3" s="229"/>
      <c r="O3" s="230"/>
    </row>
    <row r="4" spans="3:21" x14ac:dyDescent="0.2">
      <c r="F4" s="231"/>
      <c r="G4" s="231"/>
      <c r="H4" s="231"/>
      <c r="I4" s="231"/>
      <c r="J4" s="231"/>
      <c r="K4" s="234" t="s">
        <v>9</v>
      </c>
      <c r="L4" s="231"/>
      <c r="M4" s="231"/>
      <c r="N4" s="231"/>
      <c r="O4" s="234" t="s">
        <v>9</v>
      </c>
      <c r="P4" s="237" t="s">
        <v>188</v>
      </c>
    </row>
    <row r="5" spans="3:21" x14ac:dyDescent="0.2">
      <c r="F5" s="232" t="s">
        <v>184</v>
      </c>
      <c r="G5" s="232" t="s">
        <v>184</v>
      </c>
      <c r="H5" s="232"/>
      <c r="I5" s="232"/>
      <c r="J5" s="232" t="s">
        <v>187</v>
      </c>
      <c r="K5" s="232" t="s">
        <v>185</v>
      </c>
      <c r="L5" s="232" t="str">
        <f>M5</f>
        <v>Daily</v>
      </c>
      <c r="M5" s="232" t="s">
        <v>184</v>
      </c>
      <c r="N5" s="232" t="s">
        <v>187</v>
      </c>
      <c r="O5" s="232" t="s">
        <v>185</v>
      </c>
      <c r="P5" s="236" t="s">
        <v>180</v>
      </c>
    </row>
    <row r="6" spans="3:21" x14ac:dyDescent="0.2">
      <c r="C6" t="s">
        <v>179</v>
      </c>
      <c r="D6" s="3" t="s">
        <v>191</v>
      </c>
      <c r="E6" s="3"/>
      <c r="F6" s="233" t="s">
        <v>189</v>
      </c>
      <c r="G6" s="233" t="s">
        <v>181</v>
      </c>
      <c r="H6" s="233"/>
      <c r="I6" s="233"/>
      <c r="J6" s="233" t="s">
        <v>186</v>
      </c>
      <c r="K6" s="233" t="s">
        <v>186</v>
      </c>
      <c r="L6" s="233" t="s">
        <v>189</v>
      </c>
      <c r="M6" s="233" t="s">
        <v>181</v>
      </c>
      <c r="N6" s="233" t="s">
        <v>186</v>
      </c>
      <c r="O6" s="233" t="s">
        <v>186</v>
      </c>
      <c r="P6" s="238" t="s">
        <v>190</v>
      </c>
    </row>
    <row r="7" spans="3:21" x14ac:dyDescent="0.2">
      <c r="C7" t="s">
        <v>177</v>
      </c>
      <c r="D7" s="3" t="s">
        <v>174</v>
      </c>
      <c r="E7" s="3"/>
      <c r="F7" s="240">
        <f>(21763+23005)/2</f>
        <v>22384</v>
      </c>
      <c r="G7" s="235">
        <f>F7*$F$1</f>
        <v>1119.2</v>
      </c>
      <c r="H7" s="235"/>
      <c r="I7" s="235"/>
      <c r="J7" s="235">
        <f>(G7*$J$1)/60/60</f>
        <v>62.177777777777777</v>
      </c>
      <c r="K7" s="235">
        <f>J7*365</f>
        <v>22694.888888888887</v>
      </c>
      <c r="L7" s="240">
        <v>7430</v>
      </c>
      <c r="M7" s="235">
        <f>L7*$F$1</f>
        <v>371.5</v>
      </c>
      <c r="N7" s="235">
        <f>(M7*$J$1)/60/60</f>
        <v>20.638888888888889</v>
      </c>
      <c r="O7" s="235">
        <f t="shared" ref="O7:O12" si="0">N7*365</f>
        <v>7533.1944444444443</v>
      </c>
      <c r="P7" s="235">
        <f>K7-O7</f>
        <v>15161.694444444442</v>
      </c>
    </row>
    <row r="8" spans="3:21" x14ac:dyDescent="0.2">
      <c r="D8" s="3" t="s">
        <v>175</v>
      </c>
      <c r="E8" s="3"/>
      <c r="F8" s="240">
        <f>F7</f>
        <v>22384</v>
      </c>
      <c r="G8" s="235">
        <f>F8*$F$1</f>
        <v>1119.2</v>
      </c>
      <c r="H8" s="235"/>
      <c r="I8" s="235"/>
      <c r="J8" s="235">
        <f>(G8*$J$1)/60/60</f>
        <v>62.177777777777777</v>
      </c>
      <c r="K8" s="235">
        <f>J8*365</f>
        <v>22694.888888888887</v>
      </c>
      <c r="L8" s="240">
        <f>L7</f>
        <v>7430</v>
      </c>
      <c r="M8" s="235">
        <f>L8*$F$1</f>
        <v>371.5</v>
      </c>
      <c r="N8" s="235">
        <f>(M8*$J$1)/60/60</f>
        <v>20.638888888888889</v>
      </c>
      <c r="O8" s="235">
        <f t="shared" si="0"/>
        <v>7533.1944444444443</v>
      </c>
      <c r="P8" s="235">
        <f>K8-O8</f>
        <v>15161.694444444442</v>
      </c>
    </row>
    <row r="9" spans="3:21" x14ac:dyDescent="0.2">
      <c r="C9" t="s">
        <v>178</v>
      </c>
      <c r="D9" s="3" t="str">
        <f>D7</f>
        <v>CSX</v>
      </c>
      <c r="E9" s="3"/>
      <c r="F9" s="240">
        <v>1898</v>
      </c>
      <c r="G9" s="235">
        <f>F9*$F$1</f>
        <v>94.9</v>
      </c>
      <c r="H9" s="235"/>
      <c r="I9" s="235"/>
      <c r="J9" s="235">
        <f>(G9*$J$1)/60/60</f>
        <v>5.2722222222222221</v>
      </c>
      <c r="K9" s="235">
        <f>J9*365</f>
        <v>1924.3611111111111</v>
      </c>
      <c r="L9" s="240">
        <v>1675</v>
      </c>
      <c r="M9" s="235">
        <f>L9*$F$1</f>
        <v>83.75</v>
      </c>
      <c r="N9" s="235">
        <f>(M9*$J$1)/60/60</f>
        <v>4.6527777777777777</v>
      </c>
      <c r="O9" s="235">
        <f t="shared" si="0"/>
        <v>1698.2638888888889</v>
      </c>
      <c r="P9" s="235">
        <f>K9-O9</f>
        <v>226.09722222222217</v>
      </c>
    </row>
    <row r="10" spans="3:21" x14ac:dyDescent="0.2">
      <c r="C10" t="s">
        <v>192</v>
      </c>
      <c r="D10" s="3" t="s">
        <v>175</v>
      </c>
      <c r="E10" s="3"/>
      <c r="F10" s="266">
        <v>14998</v>
      </c>
      <c r="G10" s="235">
        <f>F10*$F$1</f>
        <v>749.90000000000009</v>
      </c>
      <c r="H10" s="235"/>
      <c r="I10" s="235"/>
      <c r="J10" s="235">
        <f>(G10*$J$1)/60/60</f>
        <v>41.661111111111119</v>
      </c>
      <c r="K10" s="235">
        <f>J10*365</f>
        <v>15206.305555555558</v>
      </c>
      <c r="L10" s="240">
        <v>0</v>
      </c>
      <c r="M10" s="235">
        <f>L10*$F$1</f>
        <v>0</v>
      </c>
      <c r="N10" s="235">
        <f>(M10*$J$1)/60/60</f>
        <v>0</v>
      </c>
      <c r="O10" s="235">
        <f t="shared" si="0"/>
        <v>0</v>
      </c>
      <c r="P10" s="235">
        <f>K10-O10</f>
        <v>15206.305555555558</v>
      </c>
    </row>
    <row r="11" spans="3:21" x14ac:dyDescent="0.2">
      <c r="F11" s="240">
        <f>SUM(F7:F10)</f>
        <v>61664</v>
      </c>
      <c r="G11" s="235">
        <f>SUM(G7:G10)</f>
        <v>3083.2000000000003</v>
      </c>
      <c r="H11" s="235"/>
      <c r="I11" s="235"/>
      <c r="J11" s="268">
        <f>SUM(J7:J10)</f>
        <v>171.28888888888889</v>
      </c>
      <c r="K11" s="239">
        <f>J11*365</f>
        <v>62520.444444444445</v>
      </c>
      <c r="L11" s="240">
        <f>SUM(L7:L10)</f>
        <v>16535</v>
      </c>
      <c r="M11" s="235">
        <f>SUM(M7:M10)</f>
        <v>826.75</v>
      </c>
      <c r="N11" s="240">
        <f>SUM(N7:N10)</f>
        <v>45.930555555555557</v>
      </c>
      <c r="O11" s="239">
        <f t="shared" si="0"/>
        <v>16764.652777777777</v>
      </c>
      <c r="P11" s="241">
        <f>SUM(P7:P10)</f>
        <v>45755.791666666664</v>
      </c>
    </row>
    <row r="12" spans="3:21" x14ac:dyDescent="0.2">
      <c r="L12" s="124"/>
      <c r="M12" s="245" t="s">
        <v>203</v>
      </c>
      <c r="N12" s="244">
        <f>J11-N11</f>
        <v>125.35833333333333</v>
      </c>
      <c r="O12" s="239">
        <f t="shared" si="0"/>
        <v>45755.791666666664</v>
      </c>
    </row>
    <row r="16" spans="3:21" x14ac:dyDescent="0.2">
      <c r="S16" t="str">
        <f>P4</f>
        <v>Annual</v>
      </c>
      <c r="T16" t="str">
        <f>S16</f>
        <v>Annual</v>
      </c>
      <c r="U16" t="str">
        <f>T16</f>
        <v>Annual</v>
      </c>
    </row>
    <row r="17" spans="3:21" x14ac:dyDescent="0.2">
      <c r="H17" s="174" t="s">
        <v>343</v>
      </c>
      <c r="I17" s="174"/>
      <c r="J17" s="301">
        <f>60*24</f>
        <v>1440</v>
      </c>
      <c r="S17" t="str">
        <f>P5</f>
        <v>Build</v>
      </c>
      <c r="T17" s="9" t="s">
        <v>36</v>
      </c>
      <c r="U17" s="9" t="s">
        <v>194</v>
      </c>
    </row>
    <row r="18" spans="3:21" x14ac:dyDescent="0.2">
      <c r="J18" s="10">
        <f>G27</f>
        <v>8.75</v>
      </c>
      <c r="K18" s="302">
        <f>J18/J17</f>
        <v>6.076388888888889E-3</v>
      </c>
      <c r="S18" t="str">
        <f>P6</f>
        <v>Benefit</v>
      </c>
      <c r="T18" s="9" t="s">
        <v>190</v>
      </c>
      <c r="U18" s="9" t="s">
        <v>190</v>
      </c>
    </row>
    <row r="19" spans="3:21" x14ac:dyDescent="0.2">
      <c r="S19" s="9" t="s">
        <v>193</v>
      </c>
      <c r="T19" s="9" t="s">
        <v>193</v>
      </c>
      <c r="U19" s="9" t="s">
        <v>193</v>
      </c>
    </row>
    <row r="20" spans="3:21" x14ac:dyDescent="0.2">
      <c r="S20" s="157">
        <f>P11</f>
        <v>45755.791666666664</v>
      </c>
      <c r="T20" s="157">
        <f>S20*Input!B19</f>
        <v>4575.5791666666664</v>
      </c>
      <c r="U20" s="157">
        <f>S20*Input!B18</f>
        <v>41180.212500000001</v>
      </c>
    </row>
    <row r="23" spans="3:21" x14ac:dyDescent="0.2">
      <c r="E23" s="309" t="s">
        <v>176</v>
      </c>
      <c r="F23" s="229"/>
      <c r="G23" s="229"/>
      <c r="H23" s="229"/>
      <c r="I23" s="229"/>
      <c r="J23" s="230"/>
    </row>
    <row r="24" spans="3:21" x14ac:dyDescent="0.2">
      <c r="D24" s="231"/>
      <c r="E24" s="231"/>
      <c r="F24" s="234" t="s">
        <v>354</v>
      </c>
      <c r="G24" s="231"/>
      <c r="H24" s="231"/>
      <c r="I24" s="232" t="s">
        <v>346</v>
      </c>
      <c r="J24" s="231"/>
      <c r="K24" s="234" t="s">
        <v>353</v>
      </c>
      <c r="L24" s="231"/>
      <c r="M24" s="234" t="s">
        <v>9</v>
      </c>
      <c r="N24" s="269" t="s">
        <v>9</v>
      </c>
    </row>
    <row r="25" spans="3:21" x14ac:dyDescent="0.2">
      <c r="D25" s="311" t="s">
        <v>355</v>
      </c>
      <c r="E25" s="232" t="s">
        <v>184</v>
      </c>
      <c r="F25" s="232" t="s">
        <v>220</v>
      </c>
      <c r="G25" s="232" t="s">
        <v>221</v>
      </c>
      <c r="H25" s="232" t="s">
        <v>344</v>
      </c>
      <c r="I25" s="304" t="s">
        <v>347</v>
      </c>
      <c r="J25" s="232" t="str">
        <f t="shared" ref="J25:J30" si="1">F5</f>
        <v>Daily</v>
      </c>
      <c r="K25" s="232" t="s">
        <v>223</v>
      </c>
      <c r="L25" s="232"/>
      <c r="M25" s="236" t="s">
        <v>220</v>
      </c>
      <c r="N25" s="232" t="s">
        <v>187</v>
      </c>
    </row>
    <row r="26" spans="3:21" x14ac:dyDescent="0.2">
      <c r="C26" t="str">
        <f>C6</f>
        <v>Arterial Roads</v>
      </c>
      <c r="D26" s="267" t="s">
        <v>356</v>
      </c>
      <c r="E26" s="233" t="s">
        <v>219</v>
      </c>
      <c r="F26" s="267" t="s">
        <v>223</v>
      </c>
      <c r="G26" s="233" t="s">
        <v>222</v>
      </c>
      <c r="H26" s="233" t="s">
        <v>345</v>
      </c>
      <c r="I26" s="233" t="s">
        <v>223</v>
      </c>
      <c r="J26" s="233" t="str">
        <f t="shared" si="1"/>
        <v>Crossings</v>
      </c>
      <c r="K26" s="233" t="s">
        <v>189</v>
      </c>
      <c r="L26" s="233"/>
      <c r="M26" s="238" t="s">
        <v>223</v>
      </c>
      <c r="N26" s="233" t="s">
        <v>186</v>
      </c>
    </row>
    <row r="27" spans="3:21" x14ac:dyDescent="0.2">
      <c r="C27" t="str">
        <f>C7</f>
        <v>Pineville Rd</v>
      </c>
      <c r="D27" s="264" t="str">
        <f>D7</f>
        <v>CSX</v>
      </c>
      <c r="E27" s="264">
        <v>2.5</v>
      </c>
      <c r="F27" s="126">
        <v>3.5</v>
      </c>
      <c r="G27" s="126">
        <f>F27*E27</f>
        <v>8.75</v>
      </c>
      <c r="H27" s="264">
        <f>J$17</f>
        <v>1440</v>
      </c>
      <c r="I27" s="303">
        <f>G27/H27</f>
        <v>6.076388888888889E-3</v>
      </c>
      <c r="J27" s="240">
        <f t="shared" si="1"/>
        <v>22384</v>
      </c>
      <c r="K27" s="235">
        <f>J27*I27</f>
        <v>136.01388888888889</v>
      </c>
      <c r="L27" s="265"/>
      <c r="M27" s="265">
        <f>K27*F27</f>
        <v>476.04861111111109</v>
      </c>
      <c r="N27" s="235">
        <f>(M27*$J$1)/60/60</f>
        <v>26.447145061728396</v>
      </c>
    </row>
    <row r="28" spans="3:21" x14ac:dyDescent="0.2">
      <c r="C28" t="str">
        <f>C27</f>
        <v>Pineville Rd</v>
      </c>
      <c r="D28" s="264" t="str">
        <f>D8</f>
        <v>NS</v>
      </c>
      <c r="E28" s="264">
        <v>8.5</v>
      </c>
      <c r="F28" s="126">
        <f>F27</f>
        <v>3.5</v>
      </c>
      <c r="G28" s="126">
        <f>F28*E28</f>
        <v>29.75</v>
      </c>
      <c r="H28" s="264">
        <f>J$17</f>
        <v>1440</v>
      </c>
      <c r="I28" s="303">
        <f>G28/H28</f>
        <v>2.0659722222222222E-2</v>
      </c>
      <c r="J28" s="240">
        <f t="shared" si="1"/>
        <v>22384</v>
      </c>
      <c r="K28" s="235">
        <f>J28*I28</f>
        <v>462.44722222222219</v>
      </c>
      <c r="L28" s="265"/>
      <c r="M28" s="265">
        <f>K28*F28</f>
        <v>1618.5652777777777</v>
      </c>
      <c r="N28" s="235">
        <f>(M28*$J$1)/60/60</f>
        <v>89.920293209876547</v>
      </c>
    </row>
    <row r="29" spans="3:21" x14ac:dyDescent="0.2">
      <c r="C29" t="str">
        <f>C9</f>
        <v>Longwood Rd</v>
      </c>
      <c r="D29" s="264" t="str">
        <f>D9</f>
        <v>CSX</v>
      </c>
      <c r="E29" s="264">
        <v>2.5</v>
      </c>
      <c r="F29" s="126">
        <f>F28</f>
        <v>3.5</v>
      </c>
      <c r="G29" s="126">
        <f>F29*E29</f>
        <v>8.75</v>
      </c>
      <c r="H29" s="264">
        <f>J$17</f>
        <v>1440</v>
      </c>
      <c r="I29" s="303">
        <f>G29/H29</f>
        <v>6.076388888888889E-3</v>
      </c>
      <c r="J29" s="240">
        <f t="shared" si="1"/>
        <v>1898</v>
      </c>
      <c r="K29" s="235">
        <f>J29*I29</f>
        <v>11.532986111111111</v>
      </c>
      <c r="L29" s="265"/>
      <c r="M29" s="265">
        <f>K29*F29</f>
        <v>40.365451388888886</v>
      </c>
      <c r="N29" s="235">
        <f>(M29*$J$1)/60/60</f>
        <v>2.2425250771604937</v>
      </c>
    </row>
    <row r="30" spans="3:21" x14ac:dyDescent="0.2">
      <c r="C30" t="str">
        <f>C10</f>
        <v>Old Hopkins</v>
      </c>
      <c r="D30" s="264" t="str">
        <f>D10</f>
        <v>NS</v>
      </c>
      <c r="E30" s="264">
        <v>8.5</v>
      </c>
      <c r="F30" s="126">
        <f>F29</f>
        <v>3.5</v>
      </c>
      <c r="G30" s="126">
        <f>F30*E30</f>
        <v>29.75</v>
      </c>
      <c r="H30" s="264">
        <f>J$17</f>
        <v>1440</v>
      </c>
      <c r="I30" s="303">
        <f>G30/H30</f>
        <v>2.0659722222222222E-2</v>
      </c>
      <c r="J30" s="240">
        <f t="shared" si="1"/>
        <v>14998</v>
      </c>
      <c r="K30" s="235">
        <f>J30*I30</f>
        <v>309.8545138888889</v>
      </c>
      <c r="L30" s="265"/>
      <c r="M30" s="265">
        <f>K30*F30</f>
        <v>1084.4907986111111</v>
      </c>
      <c r="N30" s="235">
        <f>(M30*$J$1)/60/60</f>
        <v>60.249488811728391</v>
      </c>
    </row>
    <row r="31" spans="3:21" x14ac:dyDescent="0.2">
      <c r="D31" s="3"/>
      <c r="N31" s="268">
        <f>SUM(N27:N30)</f>
        <v>178.85945216049382</v>
      </c>
    </row>
    <row r="32" spans="3:21" x14ac:dyDescent="0.2">
      <c r="D32" s="3"/>
    </row>
    <row r="33" spans="3:14" x14ac:dyDescent="0.2">
      <c r="D33" s="3"/>
      <c r="E33" s="310" t="s">
        <v>180</v>
      </c>
      <c r="F33" s="229"/>
      <c r="G33" s="229"/>
      <c r="H33" s="229"/>
      <c r="I33" s="229"/>
      <c r="J33" s="230"/>
    </row>
    <row r="34" spans="3:14" x14ac:dyDescent="0.2">
      <c r="D34" s="234"/>
      <c r="E34" s="231"/>
      <c r="F34" s="234" t="s">
        <v>354</v>
      </c>
      <c r="G34" s="231"/>
      <c r="H34" s="231"/>
      <c r="I34" s="232" t="s">
        <v>346</v>
      </c>
      <c r="J34" s="231"/>
      <c r="K34" s="234" t="s">
        <v>353</v>
      </c>
      <c r="L34" s="231"/>
      <c r="M34" s="234" t="s">
        <v>9</v>
      </c>
      <c r="N34" s="269" t="s">
        <v>9</v>
      </c>
    </row>
    <row r="35" spans="3:14" x14ac:dyDescent="0.2">
      <c r="D35" s="311" t="s">
        <v>355</v>
      </c>
      <c r="E35" s="232" t="s">
        <v>184</v>
      </c>
      <c r="F35" s="232" t="s">
        <v>220</v>
      </c>
      <c r="G35" s="232" t="s">
        <v>221</v>
      </c>
      <c r="H35" s="232" t="s">
        <v>344</v>
      </c>
      <c r="I35" s="304" t="s">
        <v>347</v>
      </c>
      <c r="J35" s="232" t="str">
        <f>J25</f>
        <v>Daily</v>
      </c>
      <c r="K35" s="232" t="s">
        <v>223</v>
      </c>
      <c r="L35" s="232"/>
      <c r="M35" s="236" t="s">
        <v>220</v>
      </c>
      <c r="N35" s="232" t="s">
        <v>187</v>
      </c>
    </row>
    <row r="36" spans="3:14" x14ac:dyDescent="0.2">
      <c r="D36" s="267" t="str">
        <f>D26</f>
        <v>Crossing</v>
      </c>
      <c r="E36" s="233" t="s">
        <v>219</v>
      </c>
      <c r="F36" s="267" t="s">
        <v>223</v>
      </c>
      <c r="G36" s="233" t="s">
        <v>222</v>
      </c>
      <c r="H36" s="233" t="s">
        <v>345</v>
      </c>
      <c r="I36" s="233" t="s">
        <v>223</v>
      </c>
      <c r="J36" s="232" t="str">
        <f>J26</f>
        <v>Crossings</v>
      </c>
      <c r="K36" s="233" t="s">
        <v>189</v>
      </c>
      <c r="L36" s="233"/>
      <c r="M36" s="238" t="s">
        <v>223</v>
      </c>
      <c r="N36" s="233" t="s">
        <v>186</v>
      </c>
    </row>
    <row r="37" spans="3:14" x14ac:dyDescent="0.2">
      <c r="C37" t="str">
        <f>C27</f>
        <v>Pineville Rd</v>
      </c>
      <c r="D37" s="264" t="str">
        <f>D27</f>
        <v>CSX</v>
      </c>
      <c r="E37" s="264">
        <v>2.5</v>
      </c>
      <c r="F37" s="126">
        <f>F30</f>
        <v>3.5</v>
      </c>
      <c r="G37" s="126">
        <f>F37*E37</f>
        <v>8.75</v>
      </c>
      <c r="H37" s="264">
        <f>J$17</f>
        <v>1440</v>
      </c>
      <c r="I37" s="303">
        <f>G37/H37</f>
        <v>6.076388888888889E-3</v>
      </c>
      <c r="J37" s="240">
        <f>L7</f>
        <v>7430</v>
      </c>
      <c r="K37" s="235">
        <f>J37*I37</f>
        <v>45.147569444444443</v>
      </c>
      <c r="L37" s="265"/>
      <c r="M37" s="265">
        <f>K37*F37</f>
        <v>158.01649305555554</v>
      </c>
      <c r="N37" s="235">
        <f>(M37*$J$1)/60/60</f>
        <v>8.7786940586419746</v>
      </c>
    </row>
    <row r="38" spans="3:14" x14ac:dyDescent="0.2">
      <c r="C38" t="str">
        <f>C37</f>
        <v>Pineville Rd</v>
      </c>
      <c r="D38" s="264" t="str">
        <f>D28</f>
        <v>NS</v>
      </c>
      <c r="E38" s="264">
        <v>8.5</v>
      </c>
      <c r="F38" s="126">
        <f>F37</f>
        <v>3.5</v>
      </c>
      <c r="G38" s="126">
        <f>F38*E38</f>
        <v>29.75</v>
      </c>
      <c r="H38" s="264">
        <f>J$17</f>
        <v>1440</v>
      </c>
      <c r="I38" s="303">
        <f>G38/H38</f>
        <v>2.0659722222222222E-2</v>
      </c>
      <c r="J38" s="240">
        <f>L8</f>
        <v>7430</v>
      </c>
      <c r="K38" s="235">
        <f>J38*I38</f>
        <v>153.50173611111111</v>
      </c>
      <c r="L38" s="265"/>
      <c r="M38" s="265">
        <f>K38*F38</f>
        <v>537.25607638888891</v>
      </c>
      <c r="N38" s="235">
        <f>(M38*$J$1)/60/60</f>
        <v>29.847559799382719</v>
      </c>
    </row>
    <row r="39" spans="3:14" x14ac:dyDescent="0.2">
      <c r="C39" t="str">
        <f>C29</f>
        <v>Longwood Rd</v>
      </c>
      <c r="D39" s="264" t="str">
        <f>D29</f>
        <v>CSX</v>
      </c>
      <c r="E39" s="264">
        <v>2.5</v>
      </c>
      <c r="F39" s="126">
        <f>F38</f>
        <v>3.5</v>
      </c>
      <c r="G39" s="126">
        <f>F39*E39</f>
        <v>8.75</v>
      </c>
      <c r="H39" s="264">
        <f>J$17</f>
        <v>1440</v>
      </c>
      <c r="I39" s="303">
        <f>G39/H39</f>
        <v>6.076388888888889E-3</v>
      </c>
      <c r="J39" s="240">
        <f>L9</f>
        <v>1675</v>
      </c>
      <c r="K39" s="235">
        <f>J39*I39</f>
        <v>10.177951388888889</v>
      </c>
      <c r="L39" s="265"/>
      <c r="M39" s="265">
        <f>K39*F39</f>
        <v>35.622829861111114</v>
      </c>
      <c r="N39" s="235">
        <f>(M39*$J$1)/60/60</f>
        <v>1.9790461033950619</v>
      </c>
    </row>
    <row r="40" spans="3:14" x14ac:dyDescent="0.2">
      <c r="C40" t="str">
        <f>C30</f>
        <v>Old Hopkins</v>
      </c>
      <c r="D40" s="264" t="str">
        <f>D30</f>
        <v>NS</v>
      </c>
      <c r="E40" s="264">
        <v>8.5</v>
      </c>
      <c r="F40" s="126">
        <f>F39</f>
        <v>3.5</v>
      </c>
      <c r="G40" s="126">
        <f>F40*E40</f>
        <v>29.75</v>
      </c>
      <c r="H40" s="264">
        <f>J$17</f>
        <v>1440</v>
      </c>
      <c r="I40" s="303">
        <f>G40/H40</f>
        <v>2.0659722222222222E-2</v>
      </c>
      <c r="J40" s="240">
        <f>L10</f>
        <v>0</v>
      </c>
      <c r="K40" s="235">
        <f>J40*I40</f>
        <v>0</v>
      </c>
      <c r="L40" s="265"/>
      <c r="M40" s="265">
        <f>K40*F40</f>
        <v>0</v>
      </c>
      <c r="N40" s="235">
        <f>(M40*$J$1)/60/60</f>
        <v>0</v>
      </c>
    </row>
    <row r="41" spans="3:14" x14ac:dyDescent="0.2">
      <c r="N41" s="268">
        <f>SUM(N37:N40)</f>
        <v>40.60529996141976</v>
      </c>
    </row>
    <row r="43" spans="3:14" x14ac:dyDescent="0.2">
      <c r="L43" s="124"/>
      <c r="M43" s="245" t="s">
        <v>203</v>
      </c>
      <c r="N43" s="244">
        <f>N31-N41</f>
        <v>138.25415219907404</v>
      </c>
    </row>
  </sheetData>
  <pageMargins left="0.7" right="0.7" top="0.75" bottom="0.75" header="0.3" footer="0.3"/>
  <pageSetup paperSize="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2:C30"/>
  <sheetViews>
    <sheetView topLeftCell="A13" workbookViewId="0">
      <selection activeCell="C28" sqref="C28"/>
    </sheetView>
  </sheetViews>
  <sheetFormatPr defaultColWidth="8.7109375" defaultRowHeight="15" x14ac:dyDescent="0.25"/>
  <cols>
    <col min="1" max="1" width="8.7109375" style="522"/>
    <col min="2" max="2" width="2.5703125" style="708" customWidth="1"/>
    <col min="3" max="3" width="49.28515625" style="522" customWidth="1"/>
    <col min="4" max="16384" width="8.7109375" style="522"/>
  </cols>
  <sheetData>
    <row r="2" spans="2:3" x14ac:dyDescent="0.25">
      <c r="B2" s="702"/>
      <c r="C2" s="703" t="s">
        <v>1007</v>
      </c>
    </row>
    <row r="3" spans="2:3" x14ac:dyDescent="0.25">
      <c r="B3" s="704">
        <v>1</v>
      </c>
      <c r="C3" s="705" t="s">
        <v>1017</v>
      </c>
    </row>
    <row r="4" spans="2:3" x14ac:dyDescent="0.25">
      <c r="B4" s="704"/>
      <c r="C4" s="705" t="s">
        <v>1008</v>
      </c>
    </row>
    <row r="5" spans="2:3" x14ac:dyDescent="0.25">
      <c r="B5" s="704"/>
      <c r="C5" s="705" t="s">
        <v>1009</v>
      </c>
    </row>
    <row r="6" spans="2:3" x14ac:dyDescent="0.25">
      <c r="B6" s="704"/>
      <c r="C6" s="705" t="s">
        <v>1018</v>
      </c>
    </row>
    <row r="7" spans="2:3" x14ac:dyDescent="0.25">
      <c r="B7" s="704"/>
      <c r="C7" s="705" t="s">
        <v>1010</v>
      </c>
    </row>
    <row r="8" spans="2:3" x14ac:dyDescent="0.25">
      <c r="B8" s="704">
        <v>2</v>
      </c>
      <c r="C8" s="645" t="s">
        <v>1011</v>
      </c>
    </row>
    <row r="9" spans="2:3" x14ac:dyDescent="0.25">
      <c r="B9" s="704">
        <v>3</v>
      </c>
      <c r="C9" s="645" t="s">
        <v>1012</v>
      </c>
    </row>
    <row r="11" spans="2:3" x14ac:dyDescent="0.25">
      <c r="B11" s="702"/>
      <c r="C11" s="703" t="s">
        <v>1013</v>
      </c>
    </row>
    <row r="12" spans="2:3" x14ac:dyDescent="0.25">
      <c r="B12" s="704">
        <v>1</v>
      </c>
      <c r="C12" s="706" t="s">
        <v>0</v>
      </c>
    </row>
    <row r="13" spans="2:3" x14ac:dyDescent="0.25">
      <c r="B13" s="704"/>
      <c r="C13" s="705" t="s">
        <v>1014</v>
      </c>
    </row>
    <row r="14" spans="2:3" x14ac:dyDescent="0.25">
      <c r="B14" s="704"/>
      <c r="C14" s="705" t="s">
        <v>819</v>
      </c>
    </row>
    <row r="15" spans="2:3" x14ac:dyDescent="0.25">
      <c r="B15" s="704"/>
      <c r="C15" s="705" t="s">
        <v>1019</v>
      </c>
    </row>
    <row r="16" spans="2:3" x14ac:dyDescent="0.25">
      <c r="B16" s="704"/>
      <c r="C16" s="705" t="s">
        <v>1020</v>
      </c>
    </row>
    <row r="17" spans="2:3" x14ac:dyDescent="0.25">
      <c r="B17" s="704"/>
      <c r="C17" s="707"/>
    </row>
    <row r="18" spans="2:3" x14ac:dyDescent="0.25">
      <c r="B18" s="704">
        <v>2</v>
      </c>
      <c r="C18" s="707" t="s">
        <v>12</v>
      </c>
    </row>
    <row r="19" spans="2:3" x14ac:dyDescent="0.25">
      <c r="B19" s="704"/>
      <c r="C19" s="645" t="s">
        <v>1022</v>
      </c>
    </row>
    <row r="20" spans="2:3" x14ac:dyDescent="0.25">
      <c r="B20" s="704"/>
      <c r="C20" s="645" t="s">
        <v>1021</v>
      </c>
    </row>
    <row r="21" spans="2:3" x14ac:dyDescent="0.25">
      <c r="B21" s="704"/>
      <c r="C21" s="645" t="s">
        <v>1015</v>
      </c>
    </row>
    <row r="22" spans="2:3" x14ac:dyDescent="0.25">
      <c r="B22" s="704"/>
      <c r="C22" s="645" t="s">
        <v>1023</v>
      </c>
    </row>
    <row r="23" spans="2:3" x14ac:dyDescent="0.25">
      <c r="B23" s="704"/>
      <c r="C23" s="645" t="s">
        <v>1016</v>
      </c>
    </row>
    <row r="24" spans="2:3" x14ac:dyDescent="0.25">
      <c r="B24" s="704"/>
      <c r="C24" s="645"/>
    </row>
    <row r="26" spans="2:3" x14ac:dyDescent="0.25">
      <c r="B26" s="702"/>
      <c r="C26" s="703" t="s">
        <v>1024</v>
      </c>
    </row>
    <row r="27" spans="2:3" s="557" customFormat="1" x14ac:dyDescent="0.25">
      <c r="B27" s="709">
        <v>1</v>
      </c>
      <c r="C27" s="858" t="s">
        <v>1025</v>
      </c>
    </row>
    <row r="28" spans="2:3" x14ac:dyDescent="0.25">
      <c r="B28" s="704">
        <v>2</v>
      </c>
      <c r="C28" s="916" t="s">
        <v>1026</v>
      </c>
    </row>
    <row r="29" spans="2:3" x14ac:dyDescent="0.25">
      <c r="B29" s="704">
        <v>3</v>
      </c>
      <c r="C29" s="863" t="s">
        <v>1027</v>
      </c>
    </row>
    <row r="30" spans="2:3" x14ac:dyDescent="0.25">
      <c r="B30" s="704">
        <v>4</v>
      </c>
      <c r="C30" s="863" t="s">
        <v>1028</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E25" sqref="E25"/>
    </sheetView>
  </sheetViews>
  <sheetFormatPr defaultRowHeight="12.75" x14ac:dyDescent="0.2"/>
  <cols>
    <col min="1" max="1" width="18" bestFit="1" customWidth="1"/>
    <col min="2" max="3" width="12.42578125" customWidth="1"/>
    <col min="4" max="4" width="13.28515625" bestFit="1" customWidth="1"/>
    <col min="5" max="7" width="12.28515625" bestFit="1" customWidth="1"/>
    <col min="8" max="10" width="11.7109375" bestFit="1" customWidth="1"/>
  </cols>
  <sheetData>
    <row r="1" spans="1:10" ht="17.25" x14ac:dyDescent="0.3">
      <c r="A1" s="274" t="s">
        <v>300</v>
      </c>
    </row>
    <row r="3" spans="1:10" ht="15" x14ac:dyDescent="0.25">
      <c r="A3" s="1044" t="s">
        <v>301</v>
      </c>
      <c r="B3" s="1044" t="s">
        <v>302</v>
      </c>
      <c r="C3" s="1044"/>
      <c r="D3" s="1044"/>
      <c r="E3" s="1044" t="s">
        <v>303</v>
      </c>
      <c r="F3" s="1044"/>
      <c r="G3" s="1044"/>
      <c r="H3" s="1044" t="s">
        <v>304</v>
      </c>
      <c r="I3" s="1044"/>
      <c r="J3" s="1044"/>
    </row>
    <row r="4" spans="1:10" ht="15" x14ac:dyDescent="0.25">
      <c r="A4" s="1044"/>
      <c r="B4" s="285" t="s">
        <v>305</v>
      </c>
      <c r="C4" s="285" t="s">
        <v>306</v>
      </c>
      <c r="D4" s="285" t="s">
        <v>307</v>
      </c>
      <c r="E4" s="285" t="s">
        <v>305</v>
      </c>
      <c r="F4" s="285" t="s">
        <v>306</v>
      </c>
      <c r="G4" s="285" t="s">
        <v>307</v>
      </c>
      <c r="H4" s="285" t="s">
        <v>305</v>
      </c>
      <c r="I4" s="285" t="s">
        <v>306</v>
      </c>
      <c r="J4" s="285" t="s">
        <v>307</v>
      </c>
    </row>
    <row r="5" spans="1:10" x14ac:dyDescent="0.2">
      <c r="A5" s="126" t="s">
        <v>229</v>
      </c>
      <c r="B5" s="286">
        <v>11892.241074</v>
      </c>
      <c r="C5" s="286">
        <v>10653.212654000001</v>
      </c>
      <c r="D5" s="286">
        <v>12924.476677000001</v>
      </c>
      <c r="E5" s="286">
        <v>12252.278258</v>
      </c>
      <c r="F5" s="286">
        <v>10766.006434999999</v>
      </c>
      <c r="G5" s="286">
        <v>12951.995150999999</v>
      </c>
      <c r="H5" s="286">
        <f>E5-B5</f>
        <v>360.03718400000071</v>
      </c>
      <c r="I5" s="286">
        <f t="shared" ref="I5:J9" si="0">F5-C5</f>
        <v>112.79378099999849</v>
      </c>
      <c r="J5" s="286">
        <f t="shared" si="0"/>
        <v>27.518473999998605</v>
      </c>
    </row>
    <row r="6" spans="1:10" x14ac:dyDescent="0.2">
      <c r="A6" s="126" t="s">
        <v>230</v>
      </c>
      <c r="B6" s="286">
        <v>1065780.723831</v>
      </c>
      <c r="C6" s="287">
        <v>3055933.977471</v>
      </c>
      <c r="D6" s="287">
        <v>24671143.981465999</v>
      </c>
      <c r="E6" s="286">
        <v>1125284.1914240001</v>
      </c>
      <c r="F6" s="287">
        <v>3112222.4975129999</v>
      </c>
      <c r="G6" s="287">
        <v>24752465.640283</v>
      </c>
      <c r="H6" s="286">
        <f>E6-B6</f>
        <v>59503.467593000038</v>
      </c>
      <c r="I6" s="286">
        <f t="shared" si="0"/>
        <v>56288.520041999873</v>
      </c>
      <c r="J6" s="286">
        <f t="shared" si="0"/>
        <v>81321.658817000687</v>
      </c>
    </row>
    <row r="7" spans="1:10" x14ac:dyDescent="0.2">
      <c r="A7" s="126" t="s">
        <v>231</v>
      </c>
      <c r="B7" s="286">
        <v>21858.110595999999</v>
      </c>
      <c r="C7" s="286">
        <v>68463.377575000006</v>
      </c>
      <c r="D7" s="286">
        <v>514380.03694800002</v>
      </c>
      <c r="E7" s="286">
        <v>21188.605713000001</v>
      </c>
      <c r="F7" s="286">
        <v>67660.600135999994</v>
      </c>
      <c r="G7" s="286">
        <v>517510.06560600002</v>
      </c>
      <c r="H7" s="286">
        <f>E7-B7</f>
        <v>-669.50488299999779</v>
      </c>
      <c r="I7" s="286">
        <f t="shared" si="0"/>
        <v>-802.77743900001224</v>
      </c>
      <c r="J7" s="286">
        <f t="shared" si="0"/>
        <v>3130.0286579999956</v>
      </c>
    </row>
    <row r="8" spans="1:10" x14ac:dyDescent="0.2">
      <c r="A8" s="126" t="s">
        <v>232</v>
      </c>
      <c r="B8" s="288">
        <f t="shared" ref="B8:G8" si="1">B6/B7</f>
        <v>48.759050749154703</v>
      </c>
      <c r="C8" s="288">
        <f t="shared" si="1"/>
        <v>44.636038794949854</v>
      </c>
      <c r="D8" s="288">
        <f t="shared" si="1"/>
        <v>47.96287221379874</v>
      </c>
      <c r="E8" s="288">
        <f t="shared" si="1"/>
        <v>53.107986748443587</v>
      </c>
      <c r="F8" s="288">
        <f t="shared" si="1"/>
        <v>45.997559750539196</v>
      </c>
      <c r="G8" s="288">
        <f t="shared" si="1"/>
        <v>47.829921165490887</v>
      </c>
      <c r="H8" s="289">
        <f>E8-B8</f>
        <v>4.3489359992888836</v>
      </c>
      <c r="I8" s="289">
        <f t="shared" si="0"/>
        <v>1.3615209555893415</v>
      </c>
      <c r="J8" s="289">
        <f t="shared" si="0"/>
        <v>-0.1329510483078522</v>
      </c>
    </row>
    <row r="9" spans="1:10" x14ac:dyDescent="0.2">
      <c r="A9" s="126" t="s">
        <v>233</v>
      </c>
      <c r="B9" s="290">
        <v>0.31014199999999997</v>
      </c>
      <c r="C9" s="291">
        <v>0.27958300000000003</v>
      </c>
      <c r="D9" s="291">
        <v>0.398227</v>
      </c>
      <c r="E9" s="290">
        <v>0.32499400000000001</v>
      </c>
      <c r="F9" s="291">
        <v>0.28518700000000002</v>
      </c>
      <c r="G9" s="291">
        <v>0.39956399999999997</v>
      </c>
      <c r="H9" s="289">
        <f>E9-B9</f>
        <v>1.4852000000000032E-2</v>
      </c>
      <c r="I9" s="289">
        <f t="shared" si="0"/>
        <v>5.6039999999999979E-3</v>
      </c>
      <c r="J9" s="289">
        <f t="shared" si="0"/>
        <v>1.3369999999999771E-3</v>
      </c>
    </row>
    <row r="12" spans="1:10" ht="15" x14ac:dyDescent="0.25">
      <c r="A12" s="285"/>
      <c r="B12" s="285" t="s">
        <v>305</v>
      </c>
      <c r="C12" s="285" t="s">
        <v>306</v>
      </c>
      <c r="D12" s="285" t="s">
        <v>307</v>
      </c>
    </row>
    <row r="13" spans="1:10" x14ac:dyDescent="0.2">
      <c r="A13" s="126" t="s">
        <v>308</v>
      </c>
      <c r="B13" s="290">
        <v>91.842853000000005</v>
      </c>
      <c r="C13" s="290">
        <v>289.07864000000001</v>
      </c>
      <c r="D13" s="290">
        <v>1911.0928739999999</v>
      </c>
    </row>
    <row r="14" spans="1:10" x14ac:dyDescent="0.2">
      <c r="A14" s="126" t="s">
        <v>269</v>
      </c>
      <c r="B14" s="290">
        <v>117.845099</v>
      </c>
      <c r="C14" s="290">
        <v>402.843345</v>
      </c>
      <c r="D14" s="290">
        <v>2420.2721900000001</v>
      </c>
    </row>
    <row r="15" spans="1:10" x14ac:dyDescent="0.2">
      <c r="A15" s="126" t="s">
        <v>309</v>
      </c>
      <c r="B15" s="286">
        <v>4345220.7278079996</v>
      </c>
      <c r="C15" s="286">
        <v>15060515.375522999</v>
      </c>
      <c r="D15" s="286">
        <v>76787682.182429999</v>
      </c>
    </row>
    <row r="16" spans="1:10" x14ac:dyDescent="0.2">
      <c r="A16" s="126" t="s">
        <v>310</v>
      </c>
      <c r="B16" s="286">
        <v>11892.241074</v>
      </c>
      <c r="C16" s="286">
        <v>10653.212654000001</v>
      </c>
      <c r="D16" s="286">
        <v>12924.476677000001</v>
      </c>
    </row>
    <row r="17" spans="1:4" x14ac:dyDescent="0.2">
      <c r="A17" s="126" t="s">
        <v>279</v>
      </c>
      <c r="B17" s="286">
        <v>1065780.723831</v>
      </c>
      <c r="C17" s="287">
        <v>3055933.977471</v>
      </c>
      <c r="D17" s="287">
        <v>24671143.981465999</v>
      </c>
    </row>
    <row r="18" spans="1:4" x14ac:dyDescent="0.2">
      <c r="A18" s="126" t="s">
        <v>280</v>
      </c>
      <c r="B18" s="286">
        <v>21858.110595999999</v>
      </c>
      <c r="C18" s="286">
        <v>68463.377575000006</v>
      </c>
      <c r="D18" s="286">
        <v>514380.03694800002</v>
      </c>
    </row>
    <row r="19" spans="1:4" x14ac:dyDescent="0.2">
      <c r="A19" s="126" t="s">
        <v>281</v>
      </c>
      <c r="B19" s="290">
        <v>110.307187</v>
      </c>
      <c r="C19" s="290">
        <v>403.46013699999997</v>
      </c>
      <c r="D19" s="290">
        <v>2532.7225539999999</v>
      </c>
    </row>
    <row r="20" spans="1:4" x14ac:dyDescent="0.2">
      <c r="A20" s="126" t="s">
        <v>311</v>
      </c>
      <c r="B20" s="290">
        <v>113.919349</v>
      </c>
      <c r="C20" s="292">
        <v>393.662172</v>
      </c>
      <c r="D20" s="290">
        <v>2350.4419539999999</v>
      </c>
    </row>
    <row r="21" spans="1:4" x14ac:dyDescent="0.2">
      <c r="A21" s="126" t="s">
        <v>312</v>
      </c>
      <c r="B21" s="290">
        <v>0.31014199999999997</v>
      </c>
      <c r="C21" s="291">
        <v>0.27958300000000003</v>
      </c>
      <c r="D21" s="291">
        <v>0.398227</v>
      </c>
    </row>
    <row r="22" spans="1:4" x14ac:dyDescent="0.2">
      <c r="A22" s="126" t="s">
        <v>313</v>
      </c>
      <c r="B22" s="286">
        <v>4139876.3504770002</v>
      </c>
      <c r="C22" s="286">
        <v>14787773.20868</v>
      </c>
      <c r="D22" s="286">
        <v>76439630.303473994</v>
      </c>
    </row>
    <row r="23" spans="1:4" x14ac:dyDescent="0.2">
      <c r="A23" s="126" t="s">
        <v>314</v>
      </c>
      <c r="B23" s="286">
        <v>12252.278258</v>
      </c>
      <c r="C23" s="286">
        <v>10766.006434999999</v>
      </c>
      <c r="D23" s="286">
        <v>12951.995150999999</v>
      </c>
    </row>
    <row r="24" spans="1:4" x14ac:dyDescent="0.2">
      <c r="A24" s="126" t="s">
        <v>287</v>
      </c>
      <c r="B24" s="286">
        <v>1125284.1914240001</v>
      </c>
      <c r="C24" s="287">
        <v>3112222.4975129999</v>
      </c>
      <c r="D24" s="287">
        <v>24752465.640283</v>
      </c>
    </row>
    <row r="25" spans="1:4" x14ac:dyDescent="0.2">
      <c r="A25" s="126" t="s">
        <v>288</v>
      </c>
      <c r="B25" s="286">
        <v>21188.605713000001</v>
      </c>
      <c r="C25" s="286">
        <v>67660.600135999994</v>
      </c>
      <c r="D25" s="286">
        <v>517510.06560600002</v>
      </c>
    </row>
    <row r="26" spans="1:4" x14ac:dyDescent="0.2">
      <c r="A26" s="126" t="s">
        <v>289</v>
      </c>
      <c r="B26" s="290">
        <v>111.281704</v>
      </c>
      <c r="C26" s="290">
        <v>404.57876399999998</v>
      </c>
      <c r="D26" s="290">
        <v>2543.8571729999999</v>
      </c>
    </row>
    <row r="27" spans="1:4" x14ac:dyDescent="0.2">
      <c r="A27" s="126" t="s">
        <v>315</v>
      </c>
      <c r="B27" s="290">
        <v>112.571534</v>
      </c>
      <c r="C27" s="290">
        <v>391.96880399999998</v>
      </c>
      <c r="D27" s="290">
        <v>2346.8272830000001</v>
      </c>
    </row>
    <row r="28" spans="1:4" x14ac:dyDescent="0.2">
      <c r="A28" s="126" t="s">
        <v>316</v>
      </c>
      <c r="B28" s="290">
        <v>0.32499400000000001</v>
      </c>
      <c r="C28" s="291">
        <v>0.28518700000000002</v>
      </c>
      <c r="D28" s="291">
        <v>0.39956399999999997</v>
      </c>
    </row>
    <row r="29" spans="1:4" x14ac:dyDescent="0.2">
      <c r="A29" s="126" t="s">
        <v>317</v>
      </c>
      <c r="B29" s="286">
        <v>9233000</v>
      </c>
      <c r="C29" s="286">
        <v>39582000</v>
      </c>
      <c r="D29" s="286">
        <v>158996000</v>
      </c>
    </row>
    <row r="30" spans="1:4" x14ac:dyDescent="0.2">
      <c r="A30" s="126" t="s">
        <v>318</v>
      </c>
      <c r="B30" s="286">
        <v>27929.498598999999</v>
      </c>
      <c r="C30" s="286">
        <v>27515.196559</v>
      </c>
      <c r="D30" s="286">
        <v>25834.395377000001</v>
      </c>
    </row>
  </sheetData>
  <mergeCells count="4">
    <mergeCell ref="A3:A4"/>
    <mergeCell ref="B3:D3"/>
    <mergeCell ref="E3:G3"/>
    <mergeCell ref="H3:J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V1:V13"/>
  <sheetViews>
    <sheetView topLeftCell="A12" workbookViewId="0">
      <selection activeCell="V1" sqref="V1:V13"/>
    </sheetView>
  </sheetViews>
  <sheetFormatPr defaultRowHeight="12.75" x14ac:dyDescent="0.2"/>
  <cols>
    <col min="21" max="21" width="5.42578125" customWidth="1"/>
  </cols>
  <sheetData>
    <row r="1" spans="22:22" x14ac:dyDescent="0.2">
      <c r="V1">
        <v>55960</v>
      </c>
    </row>
    <row r="2" spans="22:22" x14ac:dyDescent="0.2">
      <c r="V2">
        <v>44928</v>
      </c>
    </row>
    <row r="3" spans="22:22" x14ac:dyDescent="0.2">
      <c r="V3">
        <v>46609</v>
      </c>
    </row>
    <row r="4" spans="22:22" x14ac:dyDescent="0.2">
      <c r="V4">
        <v>46937</v>
      </c>
    </row>
    <row r="5" spans="22:22" x14ac:dyDescent="0.2">
      <c r="V5">
        <v>59635</v>
      </c>
    </row>
    <row r="6" spans="22:22" x14ac:dyDescent="0.2">
      <c r="V6">
        <v>59304</v>
      </c>
    </row>
    <row r="7" spans="22:22" x14ac:dyDescent="0.2">
      <c r="V7">
        <f>AVERAGE(V1:V6)</f>
        <v>52228.833333333336</v>
      </c>
    </row>
    <row r="11" spans="22:22" x14ac:dyDescent="0.2">
      <c r="V11">
        <v>21763</v>
      </c>
    </row>
    <row r="12" spans="22:22" x14ac:dyDescent="0.2">
      <c r="V12">
        <v>23005</v>
      </c>
    </row>
    <row r="13" spans="22:22" x14ac:dyDescent="0.2">
      <c r="V13">
        <f>AVERAGE(V11:V12)</f>
        <v>22384</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 workbookViewId="0">
      <selection activeCell="V1" sqref="V1:V12"/>
    </sheetView>
  </sheetViews>
  <sheetFormatPr defaultRowHeight="12.75" x14ac:dyDescent="0.2"/>
  <cols>
    <col min="21" max="21" width="6.42578125" customWidth="1"/>
  </cols>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29" sqref="G29"/>
    </sheetView>
  </sheetViews>
  <sheetFormatPr defaultRowHeight="12.75" x14ac:dyDescent="0.2"/>
  <sheetData>
    <row r="1" spans="1:1" x14ac:dyDescent="0.2">
      <c r="A1" t="s">
        <v>319</v>
      </c>
    </row>
    <row r="2" spans="1:1" x14ac:dyDescent="0.2">
      <c r="A2" s="10" t="s">
        <v>320</v>
      </c>
    </row>
    <row r="4" spans="1:1" x14ac:dyDescent="0.2">
      <c r="A4" t="s">
        <v>321</v>
      </c>
    </row>
    <row r="5" spans="1:1" x14ac:dyDescent="0.2">
      <c r="A5" t="s">
        <v>322</v>
      </c>
    </row>
    <row r="7" spans="1:1" x14ac:dyDescent="0.2">
      <c r="A7" t="s">
        <v>323</v>
      </c>
    </row>
    <row r="8" spans="1:1" x14ac:dyDescent="0.2">
      <c r="A8" t="s">
        <v>324</v>
      </c>
    </row>
    <row r="9" spans="1:1" x14ac:dyDescent="0.2">
      <c r="A9" t="s">
        <v>325</v>
      </c>
    </row>
    <row r="10" spans="1:1" x14ac:dyDescent="0.2">
      <c r="A10" s="293" t="s">
        <v>326</v>
      </c>
    </row>
    <row r="11" spans="1:1" x14ac:dyDescent="0.2">
      <c r="A11" s="293" t="s">
        <v>327</v>
      </c>
    </row>
    <row r="12" spans="1:1" x14ac:dyDescent="0.2">
      <c r="A12" s="293" t="s">
        <v>328</v>
      </c>
    </row>
    <row r="13" spans="1:1" x14ac:dyDescent="0.2">
      <c r="A13" s="293" t="s">
        <v>329</v>
      </c>
    </row>
    <row r="15" spans="1:1" x14ac:dyDescent="0.2">
      <c r="A15" s="10" t="s">
        <v>330</v>
      </c>
    </row>
    <row r="16" spans="1:1" x14ac:dyDescent="0.2">
      <c r="A16" s="293" t="s">
        <v>331</v>
      </c>
    </row>
    <row r="17" spans="1:1" x14ac:dyDescent="0.2">
      <c r="A17" s="293" t="s">
        <v>332</v>
      </c>
    </row>
    <row r="18" spans="1:1" x14ac:dyDescent="0.2">
      <c r="A18" s="293" t="s">
        <v>333</v>
      </c>
    </row>
    <row r="19" spans="1:1" x14ac:dyDescent="0.2">
      <c r="A19" s="293" t="s">
        <v>334</v>
      </c>
    </row>
    <row r="21" spans="1:1" x14ac:dyDescent="0.2">
      <c r="A21" s="10" t="s">
        <v>335</v>
      </c>
    </row>
    <row r="22" spans="1:1" x14ac:dyDescent="0.2">
      <c r="A22" s="293" t="s">
        <v>336</v>
      </c>
    </row>
    <row r="23" spans="1:1" x14ac:dyDescent="0.2">
      <c r="A23" s="293" t="s">
        <v>337</v>
      </c>
    </row>
    <row r="24" spans="1:1" x14ac:dyDescent="0.2">
      <c r="A24" s="293" t="s">
        <v>338</v>
      </c>
    </row>
    <row r="25" spans="1:1" x14ac:dyDescent="0.2">
      <c r="A25" s="293" t="s">
        <v>339</v>
      </c>
    </row>
    <row r="26" spans="1:1" x14ac:dyDescent="0.2">
      <c r="A26" s="293" t="s">
        <v>340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L17" sqref="L17"/>
    </sheetView>
  </sheetViews>
  <sheetFormatPr defaultRowHeight="12.75" x14ac:dyDescent="0.2"/>
  <cols>
    <col min="2" max="2" width="21" bestFit="1" customWidth="1"/>
    <col min="3" max="3" width="28.42578125" bestFit="1" customWidth="1"/>
    <col min="4" max="4" width="27.42578125" bestFit="1" customWidth="1"/>
    <col min="5" max="5" width="29.140625" bestFit="1" customWidth="1"/>
    <col min="6" max="6" width="23.140625" bestFit="1" customWidth="1"/>
    <col min="7" max="7" width="22.85546875" bestFit="1" customWidth="1"/>
    <col min="8" max="8" width="30.7109375" bestFit="1" customWidth="1"/>
    <col min="9" max="9" width="27.28515625" bestFit="1" customWidth="1"/>
    <col min="10" max="10" width="27" bestFit="1" customWidth="1"/>
    <col min="11" max="11" width="26.42578125" bestFit="1" customWidth="1"/>
    <col min="12" max="12" width="12.85546875" bestFit="1" customWidth="1"/>
    <col min="15" max="15" width="10.28515625" bestFit="1" customWidth="1"/>
  </cols>
  <sheetData>
    <row r="1" spans="1:12" ht="17.25" x14ac:dyDescent="0.3">
      <c r="A1" s="274" t="s">
        <v>226</v>
      </c>
    </row>
    <row r="2" spans="1:12" x14ac:dyDescent="0.2">
      <c r="A2" s="275" t="s">
        <v>227</v>
      </c>
      <c r="B2" s="277" t="s">
        <v>234</v>
      </c>
      <c r="C2" s="305" t="s">
        <v>236</v>
      </c>
      <c r="D2" s="305" t="s">
        <v>238</v>
      </c>
      <c r="E2" s="305" t="s">
        <v>240</v>
      </c>
      <c r="F2" s="277" t="s">
        <v>242</v>
      </c>
      <c r="G2" s="277" t="s">
        <v>244</v>
      </c>
      <c r="H2" s="277" t="s">
        <v>246</v>
      </c>
      <c r="I2" s="277" t="s">
        <v>248</v>
      </c>
      <c r="J2" s="277" t="s">
        <v>250</v>
      </c>
      <c r="K2" s="305" t="s">
        <v>252</v>
      </c>
    </row>
    <row r="3" spans="1:12" x14ac:dyDescent="0.2">
      <c r="A3" s="275" t="s">
        <v>228</v>
      </c>
      <c r="B3" s="277" t="s">
        <v>235</v>
      </c>
      <c r="C3" s="277" t="s">
        <v>237</v>
      </c>
      <c r="D3" s="305" t="s">
        <v>239</v>
      </c>
      <c r="E3" s="305" t="s">
        <v>241</v>
      </c>
      <c r="F3" s="277" t="s">
        <v>243</v>
      </c>
      <c r="G3" s="277" t="s">
        <v>245</v>
      </c>
      <c r="H3" s="277" t="s">
        <v>247</v>
      </c>
      <c r="I3" s="277" t="s">
        <v>249</v>
      </c>
      <c r="J3" s="277" t="s">
        <v>251</v>
      </c>
      <c r="K3" s="277" t="s">
        <v>253</v>
      </c>
    </row>
    <row r="4" spans="1:12" ht="25.5" x14ac:dyDescent="0.2">
      <c r="A4" s="276" t="s">
        <v>229</v>
      </c>
      <c r="B4" s="278">
        <v>34543.133447</v>
      </c>
      <c r="C4" s="278">
        <v>48569.666717</v>
      </c>
      <c r="D4" s="278">
        <v>51739.782329000001</v>
      </c>
      <c r="E4" s="278">
        <v>43130.764528</v>
      </c>
      <c r="F4" s="278">
        <v>10191.20909</v>
      </c>
      <c r="G4" s="278">
        <v>19705.504937000002</v>
      </c>
      <c r="H4" s="278">
        <v>3422.985936</v>
      </c>
      <c r="I4" s="278">
        <v>7953.4397959999997</v>
      </c>
      <c r="J4" s="278">
        <v>18690.363361</v>
      </c>
      <c r="K4" s="278">
        <v>10619.426258</v>
      </c>
    </row>
    <row r="5" spans="1:12" s="173" customFormat="1" x14ac:dyDescent="0.2">
      <c r="A5" s="299" t="s">
        <v>230</v>
      </c>
      <c r="B5" s="300">
        <v>304338.457521</v>
      </c>
      <c r="C5" s="300">
        <v>142977.114225</v>
      </c>
      <c r="D5" s="300">
        <v>193894.943302</v>
      </c>
      <c r="E5" s="300">
        <v>158396.28598799999</v>
      </c>
      <c r="F5" s="300">
        <v>36573.947702999998</v>
      </c>
      <c r="G5" s="300">
        <v>32647.670482000001</v>
      </c>
      <c r="H5" s="300">
        <v>7965.4390839999996</v>
      </c>
      <c r="I5" s="300">
        <v>37876.944898000002</v>
      </c>
      <c r="J5" s="300">
        <v>49009.174937999996</v>
      </c>
      <c r="K5" s="300">
        <v>81692.571481999999</v>
      </c>
      <c r="L5" s="296">
        <f>SUM(A5:K5)</f>
        <v>1045372.549623</v>
      </c>
    </row>
    <row r="6" spans="1:12" x14ac:dyDescent="0.2">
      <c r="L6" s="296"/>
    </row>
    <row r="7" spans="1:12" x14ac:dyDescent="0.2">
      <c r="A7">
        <v>2020</v>
      </c>
      <c r="B7" s="295">
        <f>((B$35-B$5)/15)</f>
        <v>485.55664733333202</v>
      </c>
      <c r="C7" s="295">
        <f t="shared" ref="C7:K7" si="0">((C$35-C$5)/15)</f>
        <v>-985.24779573333319</v>
      </c>
      <c r="D7" s="295">
        <f t="shared" si="0"/>
        <v>-3827.0171573333328</v>
      </c>
      <c r="E7" s="295">
        <f t="shared" si="0"/>
        <v>-1163.8964828666669</v>
      </c>
      <c r="F7" s="295">
        <f t="shared" si="0"/>
        <v>1060.6211448666668</v>
      </c>
      <c r="G7" s="295">
        <f t="shared" si="0"/>
        <v>1458.4357939999998</v>
      </c>
      <c r="H7" s="295">
        <f t="shared" si="0"/>
        <v>3909.8939871999996</v>
      </c>
      <c r="I7" s="295">
        <f t="shared" si="0"/>
        <v>1079.4727592000002</v>
      </c>
      <c r="J7" s="295">
        <f t="shared" si="0"/>
        <v>145.15685520000019</v>
      </c>
      <c r="K7" s="295">
        <f t="shared" si="0"/>
        <v>-1807.2596725333331</v>
      </c>
      <c r="L7" s="296">
        <f>SUM(B7:K7)</f>
        <v>355.71607933333257</v>
      </c>
    </row>
    <row r="8" spans="1:12" x14ac:dyDescent="0.2">
      <c r="A8">
        <v>2021</v>
      </c>
      <c r="B8" s="295">
        <f>((B$35-B$5)/15)+B7</f>
        <v>971.11329466666405</v>
      </c>
      <c r="C8" s="295">
        <f t="shared" ref="C8:K21" si="1">((C$35-C$5)/15)+C7</f>
        <v>-1970.4955914666664</v>
      </c>
      <c r="D8" s="295">
        <f t="shared" si="1"/>
        <v>-7654.0343146666655</v>
      </c>
      <c r="E8" s="295">
        <f t="shared" si="1"/>
        <v>-2327.7929657333339</v>
      </c>
      <c r="F8" s="295">
        <f t="shared" si="1"/>
        <v>2121.2422897333336</v>
      </c>
      <c r="G8" s="295">
        <f t="shared" si="1"/>
        <v>2916.8715879999995</v>
      </c>
      <c r="H8" s="295">
        <f t="shared" si="1"/>
        <v>7819.7879743999993</v>
      </c>
      <c r="I8" s="295">
        <f t="shared" si="1"/>
        <v>2158.9455184000003</v>
      </c>
      <c r="J8" s="295">
        <f t="shared" si="1"/>
        <v>290.31371040000039</v>
      </c>
      <c r="K8" s="295">
        <f t="shared" si="1"/>
        <v>-3614.5193450666661</v>
      </c>
      <c r="L8" s="296">
        <f t="shared" ref="L8:L26" si="2">SUM(B8:K8)</f>
        <v>711.43215866666515</v>
      </c>
    </row>
    <row r="9" spans="1:12" x14ac:dyDescent="0.2">
      <c r="A9">
        <v>2022</v>
      </c>
      <c r="B9" s="295">
        <f t="shared" ref="B9:B21" si="3">((B$35-B$5)/15)+B8</f>
        <v>1456.6699419999961</v>
      </c>
      <c r="C9" s="295">
        <f t="shared" si="1"/>
        <v>-2955.7433871999997</v>
      </c>
      <c r="D9" s="295">
        <f t="shared" si="1"/>
        <v>-11481.051471999999</v>
      </c>
      <c r="E9" s="295">
        <f t="shared" si="1"/>
        <v>-3491.689448600001</v>
      </c>
      <c r="F9" s="295">
        <f t="shared" si="1"/>
        <v>3181.8634346000003</v>
      </c>
      <c r="G9" s="295">
        <f t="shared" si="1"/>
        <v>4375.3073819999991</v>
      </c>
      <c r="H9" s="295">
        <f t="shared" si="1"/>
        <v>11729.681961599999</v>
      </c>
      <c r="I9" s="295">
        <f t="shared" si="1"/>
        <v>3238.4182776000007</v>
      </c>
      <c r="J9" s="295">
        <f t="shared" si="1"/>
        <v>435.47056560000055</v>
      </c>
      <c r="K9" s="295">
        <f t="shared" si="1"/>
        <v>-5421.779017599999</v>
      </c>
      <c r="L9" s="296">
        <f t="shared" si="2"/>
        <v>1067.1482379999961</v>
      </c>
    </row>
    <row r="10" spans="1:12" x14ac:dyDescent="0.2">
      <c r="A10">
        <v>2023</v>
      </c>
      <c r="B10" s="295">
        <f t="shared" si="3"/>
        <v>1942.2265893333281</v>
      </c>
      <c r="C10" s="295">
        <f t="shared" si="1"/>
        <v>-3940.9911829333328</v>
      </c>
      <c r="D10" s="295">
        <f t="shared" si="1"/>
        <v>-15308.068629333331</v>
      </c>
      <c r="E10" s="295">
        <f t="shared" si="1"/>
        <v>-4655.5859314666677</v>
      </c>
      <c r="F10" s="295">
        <f t="shared" si="1"/>
        <v>4242.4845794666671</v>
      </c>
      <c r="G10" s="295">
        <f t="shared" si="1"/>
        <v>5833.743175999999</v>
      </c>
      <c r="H10" s="295">
        <f t="shared" si="1"/>
        <v>15639.575948799999</v>
      </c>
      <c r="I10" s="295">
        <f t="shared" si="1"/>
        <v>4317.8910368000006</v>
      </c>
      <c r="J10" s="295">
        <f t="shared" si="1"/>
        <v>580.62742080000078</v>
      </c>
      <c r="K10" s="295">
        <f t="shared" si="1"/>
        <v>-7229.0386901333322</v>
      </c>
      <c r="L10" s="296">
        <f t="shared" si="2"/>
        <v>1422.8643173333303</v>
      </c>
    </row>
    <row r="11" spans="1:12" x14ac:dyDescent="0.2">
      <c r="A11">
        <v>2024</v>
      </c>
      <c r="B11" s="295">
        <f t="shared" si="3"/>
        <v>2427.7832366666603</v>
      </c>
      <c r="C11" s="295">
        <f t="shared" si="1"/>
        <v>-4926.2389786666663</v>
      </c>
      <c r="D11" s="295">
        <f t="shared" si="1"/>
        <v>-19135.085786666663</v>
      </c>
      <c r="E11" s="295">
        <f t="shared" si="1"/>
        <v>-5819.4824143333344</v>
      </c>
      <c r="F11" s="295">
        <f t="shared" si="1"/>
        <v>5303.1057243333344</v>
      </c>
      <c r="G11" s="295">
        <f t="shared" si="1"/>
        <v>7292.178969999999</v>
      </c>
      <c r="H11" s="295">
        <f t="shared" si="1"/>
        <v>19549.469935999998</v>
      </c>
      <c r="I11" s="295">
        <f t="shared" si="1"/>
        <v>5397.3637960000005</v>
      </c>
      <c r="J11" s="295">
        <f t="shared" si="1"/>
        <v>725.784276000001</v>
      </c>
      <c r="K11" s="295">
        <f t="shared" si="1"/>
        <v>-9036.2983626666646</v>
      </c>
      <c r="L11" s="296">
        <f t="shared" si="2"/>
        <v>1778.5803966666626</v>
      </c>
    </row>
    <row r="12" spans="1:12" x14ac:dyDescent="0.2">
      <c r="A12">
        <v>2025</v>
      </c>
      <c r="B12" s="295">
        <f t="shared" si="3"/>
        <v>2913.3398839999923</v>
      </c>
      <c r="C12" s="295">
        <f t="shared" si="1"/>
        <v>-5911.4867743999994</v>
      </c>
      <c r="D12" s="295">
        <f t="shared" si="1"/>
        <v>-22962.102943999995</v>
      </c>
      <c r="E12" s="295">
        <f t="shared" si="1"/>
        <v>-6983.3788972000011</v>
      </c>
      <c r="F12" s="295">
        <f t="shared" si="1"/>
        <v>6363.7268692000016</v>
      </c>
      <c r="G12" s="295">
        <f t="shared" si="1"/>
        <v>8750.6147639999981</v>
      </c>
      <c r="H12" s="295">
        <f t="shared" si="1"/>
        <v>23459.363923199999</v>
      </c>
      <c r="I12" s="295">
        <f t="shared" si="1"/>
        <v>6476.8365552000005</v>
      </c>
      <c r="J12" s="295">
        <f t="shared" si="1"/>
        <v>870.94113120000122</v>
      </c>
      <c r="K12" s="295">
        <f t="shared" si="1"/>
        <v>-10843.558035199998</v>
      </c>
      <c r="L12" s="296">
        <f t="shared" si="2"/>
        <v>2134.2964759999977</v>
      </c>
    </row>
    <row r="13" spans="1:12" x14ac:dyDescent="0.2">
      <c r="A13">
        <v>2026</v>
      </c>
      <c r="B13" s="295">
        <f t="shared" si="3"/>
        <v>3398.8965313333242</v>
      </c>
      <c r="C13" s="295">
        <f t="shared" si="1"/>
        <v>-6896.7345701333325</v>
      </c>
      <c r="D13" s="295">
        <f t="shared" si="1"/>
        <v>-26789.120101333327</v>
      </c>
      <c r="E13" s="295">
        <f t="shared" si="1"/>
        <v>-8147.2753800666678</v>
      </c>
      <c r="F13" s="295">
        <f t="shared" si="1"/>
        <v>7424.3480140666688</v>
      </c>
      <c r="G13" s="295">
        <f t="shared" si="1"/>
        <v>10209.050557999997</v>
      </c>
      <c r="H13" s="295">
        <f t="shared" si="1"/>
        <v>27369.2579104</v>
      </c>
      <c r="I13" s="295">
        <f t="shared" si="1"/>
        <v>7556.3093144000004</v>
      </c>
      <c r="J13" s="295">
        <f t="shared" si="1"/>
        <v>1016.0979864000014</v>
      </c>
      <c r="K13" s="295">
        <f t="shared" si="1"/>
        <v>-12650.817707733331</v>
      </c>
      <c r="L13" s="296">
        <f t="shared" si="2"/>
        <v>2490.0125553333364</v>
      </c>
    </row>
    <row r="14" spans="1:12" x14ac:dyDescent="0.2">
      <c r="A14">
        <v>2027</v>
      </c>
      <c r="B14" s="295">
        <f t="shared" si="3"/>
        <v>3884.4531786666562</v>
      </c>
      <c r="C14" s="295">
        <f t="shared" si="1"/>
        <v>-7881.9823658666655</v>
      </c>
      <c r="D14" s="295">
        <f t="shared" si="1"/>
        <v>-30616.137258666658</v>
      </c>
      <c r="E14" s="295">
        <f t="shared" si="1"/>
        <v>-9311.1718629333354</v>
      </c>
      <c r="F14" s="295">
        <f t="shared" si="1"/>
        <v>8484.9691589333361</v>
      </c>
      <c r="G14" s="295">
        <f t="shared" si="1"/>
        <v>11667.486351999996</v>
      </c>
      <c r="H14" s="295">
        <f t="shared" si="1"/>
        <v>31279.151897600001</v>
      </c>
      <c r="I14" s="295">
        <f t="shared" si="1"/>
        <v>8635.7820736000012</v>
      </c>
      <c r="J14" s="295">
        <f t="shared" si="1"/>
        <v>1161.2548416000016</v>
      </c>
      <c r="K14" s="295">
        <f t="shared" si="1"/>
        <v>-14458.077380266664</v>
      </c>
      <c r="L14" s="296">
        <f t="shared" si="2"/>
        <v>2845.7286346666679</v>
      </c>
    </row>
    <row r="15" spans="1:12" x14ac:dyDescent="0.2">
      <c r="A15">
        <v>2028</v>
      </c>
      <c r="B15" s="295">
        <f t="shared" si="3"/>
        <v>4370.0098259999886</v>
      </c>
      <c r="C15" s="295">
        <f t="shared" si="1"/>
        <v>-8867.2301615999986</v>
      </c>
      <c r="D15" s="295">
        <f t="shared" si="1"/>
        <v>-34443.15441599999</v>
      </c>
      <c r="E15" s="295">
        <f t="shared" si="1"/>
        <v>-10475.068345800002</v>
      </c>
      <c r="F15" s="295">
        <f t="shared" si="1"/>
        <v>9545.5903038000033</v>
      </c>
      <c r="G15" s="295">
        <f t="shared" si="1"/>
        <v>13125.922145999995</v>
      </c>
      <c r="H15" s="295">
        <f t="shared" si="1"/>
        <v>35189.045884799998</v>
      </c>
      <c r="I15" s="295">
        <f t="shared" si="1"/>
        <v>9715.2548328000012</v>
      </c>
      <c r="J15" s="295">
        <f t="shared" si="1"/>
        <v>1306.4116968000017</v>
      </c>
      <c r="K15" s="295">
        <f t="shared" si="1"/>
        <v>-16265.337052799998</v>
      </c>
      <c r="L15" s="296">
        <f t="shared" si="2"/>
        <v>3201.4447140000048</v>
      </c>
    </row>
    <row r="16" spans="1:12" x14ac:dyDescent="0.2">
      <c r="A16">
        <v>2029</v>
      </c>
      <c r="B16" s="295">
        <f t="shared" si="3"/>
        <v>4855.5664733333206</v>
      </c>
      <c r="C16" s="295">
        <f t="shared" si="1"/>
        <v>-9852.4779573333326</v>
      </c>
      <c r="D16" s="295">
        <f t="shared" si="1"/>
        <v>-38270.171573333326</v>
      </c>
      <c r="E16" s="295">
        <f t="shared" si="1"/>
        <v>-11638.964828666669</v>
      </c>
      <c r="F16" s="295">
        <f t="shared" si="1"/>
        <v>10606.211448666671</v>
      </c>
      <c r="G16" s="295">
        <f t="shared" si="1"/>
        <v>14584.357939999994</v>
      </c>
      <c r="H16" s="295">
        <f t="shared" si="1"/>
        <v>39098.939871999995</v>
      </c>
      <c r="I16" s="295">
        <f t="shared" si="1"/>
        <v>10794.727592000001</v>
      </c>
      <c r="J16" s="295">
        <f t="shared" si="1"/>
        <v>1451.5685520000018</v>
      </c>
      <c r="K16" s="295">
        <f t="shared" si="1"/>
        <v>-18072.596725333329</v>
      </c>
      <c r="L16" s="296">
        <f t="shared" si="2"/>
        <v>3557.1607933333253</v>
      </c>
    </row>
    <row r="17" spans="1:15" s="173" customFormat="1" x14ac:dyDescent="0.2">
      <c r="A17" s="173">
        <v>2030</v>
      </c>
      <c r="B17" s="296">
        <f t="shared" si="3"/>
        <v>5341.1231206666525</v>
      </c>
      <c r="C17" s="296">
        <f t="shared" si="1"/>
        <v>-10837.725753066667</v>
      </c>
      <c r="D17" s="296">
        <f t="shared" si="1"/>
        <v>-42097.188730666661</v>
      </c>
      <c r="E17" s="296">
        <f t="shared" si="1"/>
        <v>-12802.861311533336</v>
      </c>
      <c r="F17" s="296">
        <f t="shared" si="1"/>
        <v>11666.832593533338</v>
      </c>
      <c r="G17" s="296">
        <f t="shared" si="1"/>
        <v>16042.793733999993</v>
      </c>
      <c r="H17" s="296">
        <f t="shared" si="1"/>
        <v>43008.833859199993</v>
      </c>
      <c r="I17" s="296">
        <f t="shared" si="1"/>
        <v>11874.200351200001</v>
      </c>
      <c r="J17" s="296">
        <f t="shared" si="1"/>
        <v>1596.7254072000019</v>
      </c>
      <c r="K17" s="296">
        <f t="shared" si="1"/>
        <v>-19879.856397866661</v>
      </c>
      <c r="L17" s="306">
        <f t="shared" si="2"/>
        <v>3912.8768726666531</v>
      </c>
    </row>
    <row r="18" spans="1:15" x14ac:dyDescent="0.2">
      <c r="A18">
        <v>2031</v>
      </c>
      <c r="B18" s="295">
        <f t="shared" si="3"/>
        <v>5826.6797679999845</v>
      </c>
      <c r="C18" s="295">
        <f t="shared" si="1"/>
        <v>-11822.973548800001</v>
      </c>
      <c r="D18" s="295">
        <f t="shared" si="1"/>
        <v>-45924.205887999997</v>
      </c>
      <c r="E18" s="295">
        <f t="shared" si="1"/>
        <v>-13966.757794400002</v>
      </c>
      <c r="F18" s="295">
        <f t="shared" si="1"/>
        <v>12727.453738400005</v>
      </c>
      <c r="G18" s="295">
        <f t="shared" si="1"/>
        <v>17501.229527999993</v>
      </c>
      <c r="H18" s="295">
        <f t="shared" si="1"/>
        <v>46918.72784639999</v>
      </c>
      <c r="I18" s="295">
        <f t="shared" si="1"/>
        <v>12953.673110400001</v>
      </c>
      <c r="J18" s="295">
        <f t="shared" si="1"/>
        <v>1741.882262400002</v>
      </c>
      <c r="K18" s="295">
        <f t="shared" si="1"/>
        <v>-21687.116070399992</v>
      </c>
      <c r="L18" s="296">
        <f t="shared" si="2"/>
        <v>4268.5929519999772</v>
      </c>
    </row>
    <row r="19" spans="1:15" x14ac:dyDescent="0.2">
      <c r="A19">
        <v>2032</v>
      </c>
      <c r="B19" s="295">
        <f t="shared" si="3"/>
        <v>6312.2364153333165</v>
      </c>
      <c r="C19" s="295">
        <f t="shared" si="1"/>
        <v>-12808.221344533335</v>
      </c>
      <c r="D19" s="295">
        <f t="shared" si="1"/>
        <v>-49751.223045333332</v>
      </c>
      <c r="E19" s="295">
        <f t="shared" si="1"/>
        <v>-15130.654277266669</v>
      </c>
      <c r="F19" s="295">
        <f t="shared" si="1"/>
        <v>13788.074883266672</v>
      </c>
      <c r="G19" s="295">
        <f t="shared" si="1"/>
        <v>18959.665321999993</v>
      </c>
      <c r="H19" s="295">
        <f t="shared" si="1"/>
        <v>50828.621833599987</v>
      </c>
      <c r="I19" s="295">
        <f t="shared" si="1"/>
        <v>14033.145869600001</v>
      </c>
      <c r="J19" s="295">
        <f t="shared" si="1"/>
        <v>1887.0391176000021</v>
      </c>
      <c r="K19" s="295">
        <f t="shared" si="1"/>
        <v>-23494.375742933324</v>
      </c>
      <c r="L19" s="296">
        <f t="shared" si="2"/>
        <v>4624.3090313333123</v>
      </c>
    </row>
    <row r="20" spans="1:15" x14ac:dyDescent="0.2">
      <c r="A20">
        <v>2033</v>
      </c>
      <c r="B20" s="295">
        <f t="shared" si="3"/>
        <v>6797.7930626666484</v>
      </c>
      <c r="C20" s="295">
        <f t="shared" si="1"/>
        <v>-13793.469140266669</v>
      </c>
      <c r="D20" s="295">
        <f t="shared" si="1"/>
        <v>-53578.240202666668</v>
      </c>
      <c r="E20" s="295">
        <f t="shared" si="1"/>
        <v>-16294.550760133336</v>
      </c>
      <c r="F20" s="295">
        <f t="shared" si="1"/>
        <v>14848.696028133339</v>
      </c>
      <c r="G20" s="295">
        <f t="shared" si="1"/>
        <v>20418.101115999994</v>
      </c>
      <c r="H20" s="295">
        <f t="shared" si="1"/>
        <v>54738.515820799985</v>
      </c>
      <c r="I20" s="295">
        <f t="shared" si="1"/>
        <v>15112.618628800001</v>
      </c>
      <c r="J20" s="295">
        <f t="shared" si="1"/>
        <v>2032.1959728000022</v>
      </c>
      <c r="K20" s="295">
        <f t="shared" si="1"/>
        <v>-25301.635415466655</v>
      </c>
      <c r="L20" s="296">
        <f t="shared" si="2"/>
        <v>4980.025110666651</v>
      </c>
    </row>
    <row r="21" spans="1:15" x14ac:dyDescent="0.2">
      <c r="A21">
        <v>2034</v>
      </c>
      <c r="B21" s="295">
        <f t="shared" si="3"/>
        <v>7283.3497099999804</v>
      </c>
      <c r="C21" s="295">
        <f t="shared" si="1"/>
        <v>-14778.716936000003</v>
      </c>
      <c r="D21" s="295">
        <f t="shared" si="1"/>
        <v>-57405.257360000003</v>
      </c>
      <c r="E21" s="295">
        <f t="shared" si="1"/>
        <v>-17458.447243000002</v>
      </c>
      <c r="F21" s="295">
        <f t="shared" si="1"/>
        <v>15909.317173000007</v>
      </c>
      <c r="G21" s="295">
        <f t="shared" si="1"/>
        <v>21876.536909999995</v>
      </c>
      <c r="H21" s="295">
        <f t="shared" si="1"/>
        <v>58648.409807999982</v>
      </c>
      <c r="I21" s="295">
        <f t="shared" si="1"/>
        <v>16192.091388000001</v>
      </c>
      <c r="J21" s="295">
        <f t="shared" si="1"/>
        <v>2177.3528280000023</v>
      </c>
      <c r="K21" s="295">
        <f t="shared" si="1"/>
        <v>-27108.895087999987</v>
      </c>
      <c r="L21" s="296">
        <f t="shared" si="2"/>
        <v>5335.7411899999752</v>
      </c>
    </row>
    <row r="22" spans="1:15" x14ac:dyDescent="0.2">
      <c r="A22">
        <v>2035</v>
      </c>
      <c r="B22" s="295">
        <f>B21</f>
        <v>7283.3497099999804</v>
      </c>
      <c r="C22" s="295">
        <f t="shared" ref="C22:H26" si="4">C21</f>
        <v>-14778.716936000003</v>
      </c>
      <c r="D22" s="295">
        <f t="shared" si="4"/>
        <v>-57405.257360000003</v>
      </c>
      <c r="E22" s="295">
        <f t="shared" si="4"/>
        <v>-17458.447243000002</v>
      </c>
      <c r="F22" s="295">
        <f t="shared" si="4"/>
        <v>15909.317173000007</v>
      </c>
      <c r="G22" s="295">
        <f t="shared" si="4"/>
        <v>21876.536909999995</v>
      </c>
      <c r="H22" s="295">
        <f t="shared" si="4"/>
        <v>58648.409807999982</v>
      </c>
      <c r="I22" s="295">
        <f t="shared" ref="I22:K26" si="5">I21</f>
        <v>16192.091388000001</v>
      </c>
      <c r="J22" s="295">
        <f t="shared" si="5"/>
        <v>2177.3528280000023</v>
      </c>
      <c r="K22" s="295">
        <f t="shared" si="5"/>
        <v>-27108.895087999987</v>
      </c>
      <c r="L22" s="296">
        <f t="shared" si="2"/>
        <v>5335.7411899999752</v>
      </c>
    </row>
    <row r="23" spans="1:15" x14ac:dyDescent="0.2">
      <c r="A23">
        <v>2036</v>
      </c>
      <c r="B23" s="295">
        <f>B22</f>
        <v>7283.3497099999804</v>
      </c>
      <c r="C23" s="295">
        <f t="shared" si="4"/>
        <v>-14778.716936000003</v>
      </c>
      <c r="D23" s="295">
        <f t="shared" si="4"/>
        <v>-57405.257360000003</v>
      </c>
      <c r="E23" s="295">
        <f t="shared" si="4"/>
        <v>-17458.447243000002</v>
      </c>
      <c r="F23" s="295">
        <f t="shared" si="4"/>
        <v>15909.317173000007</v>
      </c>
      <c r="G23" s="295">
        <f t="shared" si="4"/>
        <v>21876.536909999995</v>
      </c>
      <c r="H23" s="295">
        <f t="shared" si="4"/>
        <v>58648.409807999982</v>
      </c>
      <c r="I23" s="295">
        <f t="shared" si="5"/>
        <v>16192.091388000001</v>
      </c>
      <c r="J23" s="295">
        <f t="shared" si="5"/>
        <v>2177.3528280000023</v>
      </c>
      <c r="K23" s="295">
        <f t="shared" si="5"/>
        <v>-27108.895087999987</v>
      </c>
      <c r="L23" s="296">
        <f t="shared" si="2"/>
        <v>5335.7411899999752</v>
      </c>
    </row>
    <row r="24" spans="1:15" x14ac:dyDescent="0.2">
      <c r="A24">
        <v>2037</v>
      </c>
      <c r="B24" s="295">
        <f>B23</f>
        <v>7283.3497099999804</v>
      </c>
      <c r="C24" s="295">
        <f t="shared" si="4"/>
        <v>-14778.716936000003</v>
      </c>
      <c r="D24" s="295">
        <f t="shared" si="4"/>
        <v>-57405.257360000003</v>
      </c>
      <c r="E24" s="295">
        <f t="shared" si="4"/>
        <v>-17458.447243000002</v>
      </c>
      <c r="F24" s="295">
        <f t="shared" si="4"/>
        <v>15909.317173000007</v>
      </c>
      <c r="G24" s="295">
        <f t="shared" si="4"/>
        <v>21876.536909999995</v>
      </c>
      <c r="H24" s="295">
        <f t="shared" si="4"/>
        <v>58648.409807999982</v>
      </c>
      <c r="I24" s="295">
        <f t="shared" si="5"/>
        <v>16192.091388000001</v>
      </c>
      <c r="J24" s="295">
        <f t="shared" si="5"/>
        <v>2177.3528280000023</v>
      </c>
      <c r="K24" s="295">
        <f t="shared" si="5"/>
        <v>-27108.895087999987</v>
      </c>
      <c r="L24" s="296">
        <f t="shared" si="2"/>
        <v>5335.7411899999752</v>
      </c>
    </row>
    <row r="25" spans="1:15" x14ac:dyDescent="0.2">
      <c r="A25">
        <v>2038</v>
      </c>
      <c r="B25" s="295">
        <f>B24</f>
        <v>7283.3497099999804</v>
      </c>
      <c r="C25" s="295">
        <f t="shared" si="4"/>
        <v>-14778.716936000003</v>
      </c>
      <c r="D25" s="295">
        <f t="shared" si="4"/>
        <v>-57405.257360000003</v>
      </c>
      <c r="E25" s="295">
        <f t="shared" si="4"/>
        <v>-17458.447243000002</v>
      </c>
      <c r="F25" s="295">
        <f t="shared" si="4"/>
        <v>15909.317173000007</v>
      </c>
      <c r="G25" s="295">
        <f t="shared" si="4"/>
        <v>21876.536909999995</v>
      </c>
      <c r="H25" s="295">
        <f t="shared" si="4"/>
        <v>58648.409807999982</v>
      </c>
      <c r="I25" s="295">
        <f t="shared" si="5"/>
        <v>16192.091388000001</v>
      </c>
      <c r="J25" s="295">
        <f t="shared" si="5"/>
        <v>2177.3528280000023</v>
      </c>
      <c r="K25" s="295">
        <f t="shared" si="5"/>
        <v>-27108.895087999987</v>
      </c>
      <c r="L25" s="296">
        <f t="shared" si="2"/>
        <v>5335.7411899999752</v>
      </c>
    </row>
    <row r="26" spans="1:15" x14ac:dyDescent="0.2">
      <c r="A26">
        <v>2039</v>
      </c>
      <c r="B26" s="295">
        <f>B25</f>
        <v>7283.3497099999804</v>
      </c>
      <c r="C26" s="295">
        <f t="shared" si="4"/>
        <v>-14778.716936000003</v>
      </c>
      <c r="D26" s="295">
        <f t="shared" si="4"/>
        <v>-57405.257360000003</v>
      </c>
      <c r="E26" s="295">
        <f t="shared" si="4"/>
        <v>-17458.447243000002</v>
      </c>
      <c r="F26" s="295">
        <f t="shared" si="4"/>
        <v>15909.317173000007</v>
      </c>
      <c r="G26" s="295">
        <f t="shared" si="4"/>
        <v>21876.536909999995</v>
      </c>
      <c r="H26" s="295">
        <f t="shared" si="4"/>
        <v>58648.409807999982</v>
      </c>
      <c r="I26" s="295">
        <f t="shared" si="5"/>
        <v>16192.091388000001</v>
      </c>
      <c r="J26" s="295">
        <f t="shared" si="5"/>
        <v>2177.3528280000023</v>
      </c>
      <c r="K26" s="295">
        <f t="shared" si="5"/>
        <v>-27108.895087999987</v>
      </c>
      <c r="L26" s="296">
        <f t="shared" si="2"/>
        <v>5335.7411899999752</v>
      </c>
    </row>
    <row r="27" spans="1:15" x14ac:dyDescent="0.2">
      <c r="B27" s="295"/>
      <c r="L27" s="296"/>
    </row>
    <row r="28" spans="1:15" x14ac:dyDescent="0.2">
      <c r="B28" s="345">
        <f t="shared" ref="B28:I28" si="6">B17</f>
        <v>5341.1231206666525</v>
      </c>
      <c r="C28" s="296">
        <f t="shared" si="6"/>
        <v>-10837.725753066667</v>
      </c>
      <c r="D28" s="296">
        <f t="shared" si="6"/>
        <v>-42097.188730666661</v>
      </c>
      <c r="E28" s="296">
        <f t="shared" si="6"/>
        <v>-12802.861311533336</v>
      </c>
      <c r="F28" s="345">
        <f t="shared" si="6"/>
        <v>11666.832593533338</v>
      </c>
      <c r="G28" s="345">
        <f t="shared" si="6"/>
        <v>16042.793733999993</v>
      </c>
      <c r="H28" s="345">
        <f t="shared" si="6"/>
        <v>43008.833859199993</v>
      </c>
      <c r="I28" s="345">
        <f t="shared" si="6"/>
        <v>11874.200351200001</v>
      </c>
      <c r="J28" s="345">
        <f>J17</f>
        <v>1596.7254072000019</v>
      </c>
      <c r="K28" s="296">
        <f>K17</f>
        <v>-19879.856397866661</v>
      </c>
      <c r="L28" s="306">
        <f>SUM(A28:K28)</f>
        <v>3912.8768726666531</v>
      </c>
      <c r="O28" s="295">
        <f>J28+I28+H28+G28+F28+B28</f>
        <v>89530.509065799983</v>
      </c>
    </row>
    <row r="29" spans="1:15" x14ac:dyDescent="0.2">
      <c r="L29" s="296"/>
    </row>
    <row r="30" spans="1:15" x14ac:dyDescent="0.2">
      <c r="B30" s="146"/>
      <c r="L30" s="296"/>
    </row>
    <row r="31" spans="1:15" ht="17.25" x14ac:dyDescent="0.3">
      <c r="A31" s="274" t="s">
        <v>254</v>
      </c>
      <c r="L31" s="296"/>
    </row>
    <row r="32" spans="1:15" x14ac:dyDescent="0.2">
      <c r="A32" s="275" t="s">
        <v>227</v>
      </c>
      <c r="B32" s="277" t="s">
        <v>234</v>
      </c>
      <c r="C32" s="277" t="s">
        <v>236</v>
      </c>
      <c r="D32" s="277" t="s">
        <v>238</v>
      </c>
      <c r="E32" s="277" t="s">
        <v>240</v>
      </c>
      <c r="F32" s="277" t="s">
        <v>242</v>
      </c>
      <c r="G32" s="277" t="s">
        <v>244</v>
      </c>
      <c r="H32" s="277" t="s">
        <v>246</v>
      </c>
      <c r="I32" s="277" t="s">
        <v>248</v>
      </c>
      <c r="J32" s="277" t="s">
        <v>250</v>
      </c>
      <c r="K32" s="277" t="s">
        <v>252</v>
      </c>
      <c r="L32" s="296"/>
    </row>
    <row r="33" spans="1:12" x14ac:dyDescent="0.2">
      <c r="A33" s="275" t="s">
        <v>228</v>
      </c>
      <c r="B33" s="277" t="s">
        <v>235</v>
      </c>
      <c r="C33" s="277" t="s">
        <v>237</v>
      </c>
      <c r="D33" s="277" t="s">
        <v>239</v>
      </c>
      <c r="E33" s="277" t="s">
        <v>241</v>
      </c>
      <c r="F33" s="277" t="s">
        <v>243</v>
      </c>
      <c r="G33" s="277" t="s">
        <v>245</v>
      </c>
      <c r="H33" s="277" t="s">
        <v>247</v>
      </c>
      <c r="I33" s="277" t="s">
        <v>249</v>
      </c>
      <c r="J33" s="277" t="s">
        <v>251</v>
      </c>
      <c r="K33" s="277" t="s">
        <v>253</v>
      </c>
      <c r="L33" s="296"/>
    </row>
    <row r="34" spans="1:12" ht="25.5" x14ac:dyDescent="0.2">
      <c r="A34" s="276" t="s">
        <v>229</v>
      </c>
      <c r="B34" s="278">
        <v>35369.810834999997</v>
      </c>
      <c r="C34" s="278">
        <v>43549.301325</v>
      </c>
      <c r="D34" s="278">
        <v>36421.510125000001</v>
      </c>
      <c r="E34" s="278">
        <v>38376.889319000002</v>
      </c>
      <c r="F34" s="278">
        <v>14624.287496000001</v>
      </c>
      <c r="G34" s="278">
        <v>32909.761159000001</v>
      </c>
      <c r="H34" s="278">
        <v>29280.435260999999</v>
      </c>
      <c r="I34" s="278">
        <v>11353.471777000001</v>
      </c>
      <c r="J34" s="278">
        <v>19520.728606000001</v>
      </c>
      <c r="K34" s="278">
        <v>7095.4716669999998</v>
      </c>
      <c r="L34" s="296"/>
    </row>
    <row r="35" spans="1:12" s="173" customFormat="1" x14ac:dyDescent="0.2">
      <c r="A35" s="299" t="s">
        <v>230</v>
      </c>
      <c r="B35" s="300">
        <v>311621.80723099998</v>
      </c>
      <c r="C35" s="300">
        <v>128198.397289</v>
      </c>
      <c r="D35" s="300">
        <v>136489.68594200001</v>
      </c>
      <c r="E35" s="300">
        <v>140937.83874499999</v>
      </c>
      <c r="F35" s="300">
        <v>52483.264876000001</v>
      </c>
      <c r="G35" s="300">
        <v>54524.207391999997</v>
      </c>
      <c r="H35" s="300">
        <f>133227.697784/2</f>
        <v>66613.848891999995</v>
      </c>
      <c r="I35" s="300">
        <v>54069.036286000002</v>
      </c>
      <c r="J35" s="300">
        <v>51186.527765999999</v>
      </c>
      <c r="K35" s="300">
        <v>54583.676394000002</v>
      </c>
      <c r="L35" s="296">
        <f>SUM(A35:K35)</f>
        <v>1050708.2908129999</v>
      </c>
    </row>
    <row r="36" spans="1:12" x14ac:dyDescent="0.2">
      <c r="B36" s="9" t="s">
        <v>341</v>
      </c>
      <c r="C36" s="9" t="s">
        <v>342</v>
      </c>
      <c r="D36" s="9" t="s">
        <v>342</v>
      </c>
      <c r="E36" s="9" t="s">
        <v>342</v>
      </c>
      <c r="F36" s="9" t="s">
        <v>341</v>
      </c>
      <c r="G36" s="9" t="s">
        <v>341</v>
      </c>
      <c r="H36" s="9" t="s">
        <v>341</v>
      </c>
      <c r="I36" s="9" t="s">
        <v>341</v>
      </c>
      <c r="J36" s="9" t="s">
        <v>341</v>
      </c>
      <c r="K36" s="9" t="s">
        <v>342</v>
      </c>
    </row>
    <row r="37" spans="1:12" x14ac:dyDescent="0.2">
      <c r="L37" s="295">
        <f>L35-L5</f>
        <v>5335.7411899999715</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opLeftCell="E1" workbookViewId="0">
      <selection activeCell="C16" sqref="C16"/>
    </sheetView>
  </sheetViews>
  <sheetFormatPr defaultRowHeight="12.75" x14ac:dyDescent="0.2"/>
  <cols>
    <col min="2" max="2" width="21" bestFit="1" customWidth="1"/>
    <col min="3" max="3" width="28.42578125" bestFit="1" customWidth="1"/>
    <col min="4" max="4" width="27.42578125" bestFit="1" customWidth="1"/>
    <col min="5" max="5" width="29.140625" bestFit="1" customWidth="1"/>
    <col min="6" max="6" width="23.140625" bestFit="1" customWidth="1"/>
    <col min="7" max="7" width="22.85546875" bestFit="1" customWidth="1"/>
    <col min="8" max="8" width="30.7109375" bestFit="1" customWidth="1"/>
    <col min="9" max="9" width="27.28515625" bestFit="1" customWidth="1"/>
    <col min="10" max="10" width="27" bestFit="1" customWidth="1"/>
    <col min="11" max="11" width="26.42578125" bestFit="1" customWidth="1"/>
    <col min="12" max="12" width="12.85546875" bestFit="1" customWidth="1"/>
  </cols>
  <sheetData>
    <row r="1" spans="1:12" ht="17.25" x14ac:dyDescent="0.3">
      <c r="A1" s="274" t="s">
        <v>226</v>
      </c>
    </row>
    <row r="2" spans="1:12" x14ac:dyDescent="0.2">
      <c r="A2" s="275" t="s">
        <v>227</v>
      </c>
      <c r="B2" s="277" t="s">
        <v>234</v>
      </c>
      <c r="C2" s="277" t="s">
        <v>236</v>
      </c>
      <c r="D2" s="305" t="s">
        <v>238</v>
      </c>
      <c r="E2" s="305" t="s">
        <v>240</v>
      </c>
      <c r="F2" s="277" t="s">
        <v>242</v>
      </c>
      <c r="G2" s="277" t="s">
        <v>244</v>
      </c>
      <c r="H2" s="277" t="s">
        <v>246</v>
      </c>
      <c r="I2" s="277" t="s">
        <v>248</v>
      </c>
      <c r="J2" s="277" t="s">
        <v>250</v>
      </c>
      <c r="K2" s="277" t="s">
        <v>252</v>
      </c>
    </row>
    <row r="3" spans="1:12" x14ac:dyDescent="0.2">
      <c r="A3" s="275" t="s">
        <v>228</v>
      </c>
      <c r="B3" s="277" t="s">
        <v>235</v>
      </c>
      <c r="C3" s="277" t="s">
        <v>237</v>
      </c>
      <c r="D3" s="277" t="s">
        <v>239</v>
      </c>
      <c r="E3" s="277" t="s">
        <v>241</v>
      </c>
      <c r="F3" s="277" t="s">
        <v>243</v>
      </c>
      <c r="G3" s="277" t="s">
        <v>245</v>
      </c>
      <c r="H3" s="277" t="s">
        <v>247</v>
      </c>
      <c r="I3" s="277" t="s">
        <v>249</v>
      </c>
      <c r="J3" s="277" t="s">
        <v>251</v>
      </c>
      <c r="K3" s="277" t="s">
        <v>253</v>
      </c>
    </row>
    <row r="4" spans="1:12" ht="25.5" x14ac:dyDescent="0.2">
      <c r="A4" s="276" t="s">
        <v>229</v>
      </c>
      <c r="B4" s="278">
        <v>34543.133447</v>
      </c>
      <c r="C4" s="278">
        <v>48569.666717</v>
      </c>
      <c r="D4" s="278">
        <v>51739.782329000001</v>
      </c>
      <c r="E4" s="278">
        <v>43130.764528</v>
      </c>
      <c r="F4" s="278">
        <v>10191.20909</v>
      </c>
      <c r="G4" s="278">
        <v>19705.504937000002</v>
      </c>
      <c r="H4" s="278">
        <v>3422.985936</v>
      </c>
      <c r="I4" s="278">
        <v>7953.4397959999997</v>
      </c>
      <c r="J4" s="278">
        <v>18690.363361</v>
      </c>
      <c r="K4" s="278">
        <v>10619.426258</v>
      </c>
    </row>
    <row r="5" spans="1:12" s="173" customFormat="1" x14ac:dyDescent="0.2">
      <c r="A5" s="299" t="s">
        <v>230</v>
      </c>
      <c r="B5" s="300">
        <v>304338.457521</v>
      </c>
      <c r="C5" s="300">
        <v>142977.114225</v>
      </c>
      <c r="D5" s="300">
        <v>193894.943302</v>
      </c>
      <c r="E5" s="300">
        <v>158396.28598799999</v>
      </c>
      <c r="F5" s="300">
        <v>36573.947702999998</v>
      </c>
      <c r="G5" s="300">
        <v>32647.670482000001</v>
      </c>
      <c r="H5" s="300">
        <v>7965.4390839999996</v>
      </c>
      <c r="I5" s="300">
        <v>37876.944898000002</v>
      </c>
      <c r="J5" s="300">
        <v>49009.174937999996</v>
      </c>
      <c r="K5" s="300">
        <v>81692.571481999999</v>
      </c>
      <c r="L5" s="296">
        <f>SUM(A5:K5)</f>
        <v>1045372.549623</v>
      </c>
    </row>
    <row r="6" spans="1:12" x14ac:dyDescent="0.2">
      <c r="L6" s="296"/>
    </row>
    <row r="7" spans="1:12" x14ac:dyDescent="0.2">
      <c r="A7">
        <v>2020</v>
      </c>
      <c r="B7" s="295">
        <f>((B$34-B$4)/15)+B4</f>
        <v>34598.245272866669</v>
      </c>
      <c r="C7" s="295">
        <f t="shared" ref="C7:H7" si="0">((C$34-C$4)/15)+C4</f>
        <v>48234.975690866668</v>
      </c>
      <c r="D7" s="295">
        <f t="shared" si="0"/>
        <v>50718.564182066671</v>
      </c>
      <c r="E7" s="295">
        <f t="shared" si="0"/>
        <v>42813.839514066669</v>
      </c>
      <c r="F7" s="295">
        <f t="shared" si="0"/>
        <v>10486.747650400001</v>
      </c>
      <c r="G7" s="295">
        <f t="shared" si="0"/>
        <v>20585.788685133335</v>
      </c>
      <c r="H7" s="295">
        <f t="shared" si="0"/>
        <v>5146.8158910000002</v>
      </c>
      <c r="I7" s="295">
        <f>((I$34-I$4)/15)+I4</f>
        <v>8180.1085947333331</v>
      </c>
      <c r="J7" s="295">
        <f>((J$34-J$4)/15)+J4</f>
        <v>18745.721043999998</v>
      </c>
      <c r="K7" s="295">
        <f>((K$34-K$4)/15)+K4</f>
        <v>10384.495951933333</v>
      </c>
      <c r="L7" s="296"/>
    </row>
    <row r="8" spans="1:12" x14ac:dyDescent="0.2">
      <c r="A8">
        <v>2021</v>
      </c>
      <c r="B8" s="295">
        <f>((B$34-B$4)/15)+B7</f>
        <v>34653.357098733337</v>
      </c>
      <c r="C8" s="295">
        <f t="shared" ref="C8:H20" si="1">((C$34-C$4)/15)+C7</f>
        <v>47900.284664733335</v>
      </c>
      <c r="D8" s="295">
        <f t="shared" si="1"/>
        <v>49697.346035133342</v>
      </c>
      <c r="E8" s="295">
        <f t="shared" si="1"/>
        <v>42496.914500133338</v>
      </c>
      <c r="F8" s="295">
        <f t="shared" si="1"/>
        <v>10782.286210800001</v>
      </c>
      <c r="G8" s="295">
        <f t="shared" si="1"/>
        <v>21466.072433266669</v>
      </c>
      <c r="H8" s="295">
        <f t="shared" si="1"/>
        <v>6870.6458460000003</v>
      </c>
      <c r="I8" s="295">
        <f>((I$34-I$4)/15)+I7</f>
        <v>8406.7773934666657</v>
      </c>
      <c r="J8" s="295">
        <f t="shared" ref="J8:J20" si="2">((J$34-J$4)/15)+J7</f>
        <v>18801.078726999996</v>
      </c>
      <c r="K8" s="295">
        <f t="shared" ref="K8:K20" si="3">((K$34-K$4)/15)+K7</f>
        <v>10149.565645866667</v>
      </c>
      <c r="L8" s="296"/>
    </row>
    <row r="9" spans="1:12" x14ac:dyDescent="0.2">
      <c r="A9">
        <v>2022</v>
      </c>
      <c r="B9" s="295">
        <f t="shared" ref="B9:B20" si="4">((B$34-B$4)/15)+B8</f>
        <v>34708.468924600005</v>
      </c>
      <c r="C9" s="295">
        <f t="shared" si="1"/>
        <v>47565.593638600003</v>
      </c>
      <c r="D9" s="295">
        <f t="shared" si="1"/>
        <v>48676.127888200012</v>
      </c>
      <c r="E9" s="295">
        <f t="shared" si="1"/>
        <v>42179.989486200007</v>
      </c>
      <c r="F9" s="295">
        <f t="shared" si="1"/>
        <v>11077.824771200001</v>
      </c>
      <c r="G9" s="295">
        <f t="shared" si="1"/>
        <v>22346.356181400002</v>
      </c>
      <c r="H9" s="295">
        <f t="shared" si="1"/>
        <v>8594.4758010000005</v>
      </c>
      <c r="I9" s="295">
        <f t="shared" ref="I9:I20" si="5">((I$34-I$4)/15)+I8</f>
        <v>8633.4461921999991</v>
      </c>
      <c r="J9" s="295">
        <f t="shared" si="2"/>
        <v>18856.436409999995</v>
      </c>
      <c r="K9" s="295">
        <f t="shared" si="3"/>
        <v>9914.635339800001</v>
      </c>
      <c r="L9" s="296"/>
    </row>
    <row r="10" spans="1:12" x14ac:dyDescent="0.2">
      <c r="A10">
        <v>2023</v>
      </c>
      <c r="B10" s="295">
        <f t="shared" si="4"/>
        <v>34763.580750466674</v>
      </c>
      <c r="C10" s="295">
        <f t="shared" si="1"/>
        <v>47230.902612466671</v>
      </c>
      <c r="D10" s="295">
        <f t="shared" si="1"/>
        <v>47654.909741266682</v>
      </c>
      <c r="E10" s="295">
        <f t="shared" si="1"/>
        <v>41863.064472266677</v>
      </c>
      <c r="F10" s="295">
        <f t="shared" si="1"/>
        <v>11373.363331600001</v>
      </c>
      <c r="G10" s="295">
        <f t="shared" si="1"/>
        <v>23226.639929533336</v>
      </c>
      <c r="H10" s="295">
        <f t="shared" si="1"/>
        <v>10318.305756</v>
      </c>
      <c r="I10" s="295">
        <f t="shared" si="5"/>
        <v>8860.1149909333326</v>
      </c>
      <c r="J10" s="295">
        <f t="shared" si="2"/>
        <v>18911.794092999993</v>
      </c>
      <c r="K10" s="295">
        <f t="shared" si="3"/>
        <v>9679.7050337333349</v>
      </c>
      <c r="L10" s="296"/>
    </row>
    <row r="11" spans="1:12" x14ac:dyDescent="0.2">
      <c r="A11">
        <v>2024</v>
      </c>
      <c r="B11" s="295">
        <f t="shared" si="4"/>
        <v>34818.692576333342</v>
      </c>
      <c r="C11" s="295">
        <f t="shared" si="1"/>
        <v>46896.211586333338</v>
      </c>
      <c r="D11" s="295">
        <f t="shared" si="1"/>
        <v>46633.691594333352</v>
      </c>
      <c r="E11" s="295">
        <f t="shared" si="1"/>
        <v>41546.139458333346</v>
      </c>
      <c r="F11" s="295">
        <f t="shared" si="1"/>
        <v>11668.901892000002</v>
      </c>
      <c r="G11" s="295">
        <f t="shared" si="1"/>
        <v>24106.923677666669</v>
      </c>
      <c r="H11" s="295">
        <f t="shared" si="1"/>
        <v>12042.135710999999</v>
      </c>
      <c r="I11" s="295">
        <f t="shared" si="5"/>
        <v>9086.7837896666661</v>
      </c>
      <c r="J11" s="295">
        <f t="shared" si="2"/>
        <v>18967.151775999992</v>
      </c>
      <c r="K11" s="295">
        <f t="shared" si="3"/>
        <v>9444.7747276666687</v>
      </c>
      <c r="L11" s="296"/>
    </row>
    <row r="12" spans="1:12" x14ac:dyDescent="0.2">
      <c r="A12">
        <v>2025</v>
      </c>
      <c r="B12" s="295">
        <f t="shared" si="4"/>
        <v>34873.80440220001</v>
      </c>
      <c r="C12" s="295">
        <f t="shared" si="1"/>
        <v>46561.520560200006</v>
      </c>
      <c r="D12" s="295">
        <f t="shared" si="1"/>
        <v>45612.473447400022</v>
      </c>
      <c r="E12" s="295">
        <f t="shared" si="1"/>
        <v>41229.214444400015</v>
      </c>
      <c r="F12" s="295">
        <f t="shared" si="1"/>
        <v>11964.440452400002</v>
      </c>
      <c r="G12" s="295">
        <f t="shared" si="1"/>
        <v>24987.207425800003</v>
      </c>
      <c r="H12" s="295">
        <f t="shared" si="1"/>
        <v>13765.965665999998</v>
      </c>
      <c r="I12" s="295">
        <f t="shared" si="5"/>
        <v>9313.4525883999995</v>
      </c>
      <c r="J12" s="295">
        <f t="shared" si="2"/>
        <v>19022.50945899999</v>
      </c>
      <c r="K12" s="295">
        <f t="shared" si="3"/>
        <v>9209.8444216000025</v>
      </c>
      <c r="L12" s="296"/>
    </row>
    <row r="13" spans="1:12" x14ac:dyDescent="0.2">
      <c r="A13">
        <v>2026</v>
      </c>
      <c r="B13" s="295">
        <f t="shared" si="4"/>
        <v>34928.916228066679</v>
      </c>
      <c r="C13" s="295">
        <f t="shared" si="1"/>
        <v>46226.829534066674</v>
      </c>
      <c r="D13" s="295">
        <f t="shared" si="1"/>
        <v>44591.255300466692</v>
      </c>
      <c r="E13" s="295">
        <f t="shared" si="1"/>
        <v>40912.289430466684</v>
      </c>
      <c r="F13" s="295">
        <f t="shared" si="1"/>
        <v>12259.979012800002</v>
      </c>
      <c r="G13" s="295">
        <f t="shared" si="1"/>
        <v>25867.491173933337</v>
      </c>
      <c r="H13" s="295">
        <f t="shared" si="1"/>
        <v>15489.795620999997</v>
      </c>
      <c r="I13" s="295">
        <f t="shared" si="5"/>
        <v>9540.121387133333</v>
      </c>
      <c r="J13" s="295">
        <f t="shared" si="2"/>
        <v>19077.867141999988</v>
      </c>
      <c r="K13" s="295">
        <f t="shared" si="3"/>
        <v>8974.9141155333364</v>
      </c>
      <c r="L13" s="296"/>
    </row>
    <row r="14" spans="1:12" x14ac:dyDescent="0.2">
      <c r="A14">
        <v>2027</v>
      </c>
      <c r="B14" s="295">
        <f t="shared" si="4"/>
        <v>34984.028053933347</v>
      </c>
      <c r="C14" s="295">
        <f t="shared" si="1"/>
        <v>45892.138507933341</v>
      </c>
      <c r="D14" s="295">
        <f t="shared" si="1"/>
        <v>43570.037153533362</v>
      </c>
      <c r="E14" s="295">
        <f t="shared" si="1"/>
        <v>40595.364416533354</v>
      </c>
      <c r="F14" s="295">
        <f t="shared" si="1"/>
        <v>12555.517573200003</v>
      </c>
      <c r="G14" s="295">
        <f t="shared" si="1"/>
        <v>26747.77492206667</v>
      </c>
      <c r="H14" s="295">
        <f t="shared" si="1"/>
        <v>17213.625575999999</v>
      </c>
      <c r="I14" s="295">
        <f t="shared" si="5"/>
        <v>9766.7901858666664</v>
      </c>
      <c r="J14" s="295">
        <f t="shared" si="2"/>
        <v>19133.224824999987</v>
      </c>
      <c r="K14" s="295">
        <f t="shared" si="3"/>
        <v>8739.9838094666702</v>
      </c>
      <c r="L14" s="296"/>
    </row>
    <row r="15" spans="1:12" x14ac:dyDescent="0.2">
      <c r="A15">
        <v>2028</v>
      </c>
      <c r="B15" s="295">
        <f t="shared" si="4"/>
        <v>35039.139879800015</v>
      </c>
      <c r="C15" s="295">
        <f t="shared" si="1"/>
        <v>45557.447481800009</v>
      </c>
      <c r="D15" s="295">
        <f t="shared" si="1"/>
        <v>42548.819006600032</v>
      </c>
      <c r="E15" s="295">
        <f t="shared" si="1"/>
        <v>40278.439402600023</v>
      </c>
      <c r="F15" s="295">
        <f t="shared" si="1"/>
        <v>12851.056133600003</v>
      </c>
      <c r="G15" s="295">
        <f t="shared" si="1"/>
        <v>27628.058670200004</v>
      </c>
      <c r="H15" s="295">
        <f t="shared" si="1"/>
        <v>18937.455531</v>
      </c>
      <c r="I15" s="295">
        <f t="shared" si="5"/>
        <v>9993.4589845999999</v>
      </c>
      <c r="J15" s="295">
        <f t="shared" si="2"/>
        <v>19188.582507999985</v>
      </c>
      <c r="K15" s="295">
        <f t="shared" si="3"/>
        <v>8505.053503400004</v>
      </c>
      <c r="L15" s="296"/>
    </row>
    <row r="16" spans="1:12" x14ac:dyDescent="0.2">
      <c r="A16">
        <v>2029</v>
      </c>
      <c r="B16" s="295">
        <f t="shared" si="4"/>
        <v>35094.251705666684</v>
      </c>
      <c r="C16" s="295">
        <f t="shared" si="1"/>
        <v>45222.756455666677</v>
      </c>
      <c r="D16" s="295">
        <f t="shared" si="1"/>
        <v>41527.600859666702</v>
      </c>
      <c r="E16" s="295">
        <f t="shared" si="1"/>
        <v>39961.514388666692</v>
      </c>
      <c r="F16" s="295">
        <f t="shared" si="1"/>
        <v>13146.594694000003</v>
      </c>
      <c r="G16" s="295">
        <f t="shared" si="1"/>
        <v>28508.342418333337</v>
      </c>
      <c r="H16" s="295">
        <f t="shared" si="1"/>
        <v>20661.285486000001</v>
      </c>
      <c r="I16" s="295">
        <f t="shared" si="5"/>
        <v>10220.127783333333</v>
      </c>
      <c r="J16" s="295">
        <f t="shared" si="2"/>
        <v>19243.940190999983</v>
      </c>
      <c r="K16" s="295">
        <f t="shared" si="3"/>
        <v>8270.1231973333379</v>
      </c>
      <c r="L16" s="296"/>
    </row>
    <row r="17" spans="1:12" s="173" customFormat="1" x14ac:dyDescent="0.2">
      <c r="A17" s="173">
        <v>2030</v>
      </c>
      <c r="B17" s="296">
        <f t="shared" si="4"/>
        <v>35149.363531533352</v>
      </c>
      <c r="C17" s="296">
        <f t="shared" si="1"/>
        <v>44888.065429533344</v>
      </c>
      <c r="D17" s="306">
        <f t="shared" si="1"/>
        <v>40506.382712733372</v>
      </c>
      <c r="E17" s="306">
        <f t="shared" si="1"/>
        <v>39644.589374733361</v>
      </c>
      <c r="F17" s="296">
        <f t="shared" si="1"/>
        <v>13442.133254400003</v>
      </c>
      <c r="G17" s="296">
        <f t="shared" si="1"/>
        <v>29388.626166466671</v>
      </c>
      <c r="H17" s="296">
        <f t="shared" si="1"/>
        <v>22385.115441000002</v>
      </c>
      <c r="I17" s="296">
        <f t="shared" si="5"/>
        <v>10446.796582066667</v>
      </c>
      <c r="J17" s="296">
        <f t="shared" si="2"/>
        <v>19299.297873999982</v>
      </c>
      <c r="K17" s="296">
        <f t="shared" si="3"/>
        <v>8035.1928912666708</v>
      </c>
      <c r="L17" s="296">
        <f>SUM(A17:K17)</f>
        <v>265215.56325773342</v>
      </c>
    </row>
    <row r="18" spans="1:12" x14ac:dyDescent="0.2">
      <c r="A18">
        <v>2031</v>
      </c>
      <c r="B18" s="295">
        <f t="shared" si="4"/>
        <v>35204.475357400021</v>
      </c>
      <c r="C18" s="295">
        <f t="shared" si="1"/>
        <v>44553.374403400012</v>
      </c>
      <c r="D18" s="295">
        <f t="shared" si="1"/>
        <v>39485.164565800042</v>
      </c>
      <c r="E18" s="295">
        <f t="shared" si="1"/>
        <v>39327.66436080003</v>
      </c>
      <c r="F18" s="295">
        <f t="shared" si="1"/>
        <v>13737.671814800004</v>
      </c>
      <c r="G18" s="295">
        <f t="shared" si="1"/>
        <v>30268.909914600004</v>
      </c>
      <c r="H18" s="295">
        <f t="shared" si="1"/>
        <v>24108.945396000003</v>
      </c>
      <c r="I18" s="295">
        <f t="shared" si="5"/>
        <v>10673.4653808</v>
      </c>
      <c r="J18" s="295">
        <f t="shared" si="2"/>
        <v>19354.65555699998</v>
      </c>
      <c r="K18" s="295">
        <f t="shared" si="3"/>
        <v>7800.2625852000037</v>
      </c>
      <c r="L18" s="296"/>
    </row>
    <row r="19" spans="1:12" x14ac:dyDescent="0.2">
      <c r="A19">
        <v>2032</v>
      </c>
      <c r="B19" s="295">
        <f t="shared" si="4"/>
        <v>35259.587183266689</v>
      </c>
      <c r="C19" s="295">
        <f t="shared" si="1"/>
        <v>44218.68337726668</v>
      </c>
      <c r="D19" s="295">
        <f t="shared" si="1"/>
        <v>38463.946418866712</v>
      </c>
      <c r="E19" s="295">
        <f t="shared" si="1"/>
        <v>39010.7393468667</v>
      </c>
      <c r="F19" s="295">
        <f t="shared" si="1"/>
        <v>14033.210375200004</v>
      </c>
      <c r="G19" s="295">
        <f t="shared" si="1"/>
        <v>31149.193662733338</v>
      </c>
      <c r="H19" s="295">
        <f t="shared" si="1"/>
        <v>25832.775351000004</v>
      </c>
      <c r="I19" s="295">
        <f t="shared" si="5"/>
        <v>10900.134179533334</v>
      </c>
      <c r="J19" s="295">
        <f t="shared" si="2"/>
        <v>19410.013239999978</v>
      </c>
      <c r="K19" s="295">
        <f t="shared" si="3"/>
        <v>7565.3322791333367</v>
      </c>
      <c r="L19" s="296"/>
    </row>
    <row r="20" spans="1:12" x14ac:dyDescent="0.2">
      <c r="A20">
        <v>2033</v>
      </c>
      <c r="B20" s="295">
        <f t="shared" si="4"/>
        <v>35314.699009133357</v>
      </c>
      <c r="C20" s="295">
        <f t="shared" si="1"/>
        <v>43883.992351133347</v>
      </c>
      <c r="D20" s="295">
        <f t="shared" si="1"/>
        <v>37442.728271933382</v>
      </c>
      <c r="E20" s="295">
        <f t="shared" si="1"/>
        <v>38693.814332933369</v>
      </c>
      <c r="F20" s="295">
        <f t="shared" si="1"/>
        <v>14328.748935600004</v>
      </c>
      <c r="G20" s="295">
        <f t="shared" si="1"/>
        <v>32029.477410866672</v>
      </c>
      <c r="H20" s="295">
        <f t="shared" si="1"/>
        <v>27556.605306000005</v>
      </c>
      <c r="I20" s="295">
        <f t="shared" si="5"/>
        <v>11126.802978266667</v>
      </c>
      <c r="J20" s="295">
        <f t="shared" si="2"/>
        <v>19465.370922999977</v>
      </c>
      <c r="K20" s="295">
        <f t="shared" si="3"/>
        <v>7330.4019730666696</v>
      </c>
      <c r="L20" s="296"/>
    </row>
    <row r="21" spans="1:12" x14ac:dyDescent="0.2">
      <c r="A21">
        <v>2034</v>
      </c>
      <c r="B21" s="295">
        <f>((B$34-B$4)/15)+B18</f>
        <v>35259.587183266689</v>
      </c>
      <c r="C21" s="295">
        <f t="shared" ref="C21:H21" si="6">((C$34-C$4)/15)+C18</f>
        <v>44218.68337726668</v>
      </c>
      <c r="D21" s="295">
        <f t="shared" si="6"/>
        <v>38463.946418866712</v>
      </c>
      <c r="E21" s="295">
        <f t="shared" si="6"/>
        <v>39010.7393468667</v>
      </c>
      <c r="F21" s="295">
        <f t="shared" si="6"/>
        <v>14033.210375200004</v>
      </c>
      <c r="G21" s="295">
        <f t="shared" si="6"/>
        <v>31149.193662733338</v>
      </c>
      <c r="H21" s="295">
        <f t="shared" si="6"/>
        <v>25832.775351000004</v>
      </c>
      <c r="I21" s="295">
        <f>((I$34-I$4)/15)+I18</f>
        <v>10900.134179533334</v>
      </c>
      <c r="J21" s="295">
        <f>((J$34-J$4)/15)+J18</f>
        <v>19410.013239999978</v>
      </c>
      <c r="K21" s="295">
        <f>((K$34-K$4)/15)+K18</f>
        <v>7565.3322791333367</v>
      </c>
      <c r="L21" s="296"/>
    </row>
    <row r="22" spans="1:12" x14ac:dyDescent="0.2">
      <c r="A22">
        <v>2035</v>
      </c>
      <c r="B22" s="295">
        <v>35369.810834999997</v>
      </c>
      <c r="C22" s="295">
        <v>43549.301325</v>
      </c>
      <c r="D22" s="295">
        <v>36421.510125000001</v>
      </c>
      <c r="E22" s="295">
        <v>38376.889319000002</v>
      </c>
      <c r="F22" s="295">
        <v>14624.287496000001</v>
      </c>
      <c r="G22" s="295">
        <v>32909.761159000001</v>
      </c>
      <c r="H22" s="295">
        <v>29280.435260999999</v>
      </c>
      <c r="I22" s="295">
        <v>11353.471777000001</v>
      </c>
      <c r="J22" s="295">
        <v>19520.728606000001</v>
      </c>
      <c r="K22" s="295">
        <v>7095.4716669999998</v>
      </c>
      <c r="L22" s="296"/>
    </row>
    <row r="23" spans="1:12" x14ac:dyDescent="0.2">
      <c r="A23">
        <v>2036</v>
      </c>
      <c r="B23" s="295">
        <v>35369.810834999997</v>
      </c>
      <c r="C23" s="295">
        <v>43549.301325</v>
      </c>
      <c r="D23" s="295">
        <v>36421.510125000001</v>
      </c>
      <c r="E23" s="295">
        <v>38376.889319000002</v>
      </c>
      <c r="F23" s="295">
        <v>14624.287496000001</v>
      </c>
      <c r="G23" s="295">
        <v>32909.761159000001</v>
      </c>
      <c r="H23" s="295">
        <v>29280.435260999999</v>
      </c>
      <c r="I23" s="295">
        <v>11353.471777000001</v>
      </c>
      <c r="J23" s="295">
        <v>19520.728606000001</v>
      </c>
      <c r="K23" s="295">
        <v>7095.4716669999998</v>
      </c>
      <c r="L23" s="296"/>
    </row>
    <row r="24" spans="1:12" x14ac:dyDescent="0.2">
      <c r="A24">
        <v>2037</v>
      </c>
      <c r="B24" s="295">
        <v>35369.810834999997</v>
      </c>
      <c r="C24" s="295">
        <v>43549.301325</v>
      </c>
      <c r="D24" s="295">
        <v>36421.510125000001</v>
      </c>
      <c r="E24" s="295">
        <v>38376.889319000002</v>
      </c>
      <c r="F24" s="295">
        <v>14624.287496000001</v>
      </c>
      <c r="G24" s="295">
        <v>32909.761159000001</v>
      </c>
      <c r="H24" s="295">
        <v>29280.435260999999</v>
      </c>
      <c r="I24" s="295">
        <v>11353.471777000001</v>
      </c>
      <c r="J24" s="295">
        <v>19520.728606000001</v>
      </c>
      <c r="K24" s="295">
        <v>7095.4716669999998</v>
      </c>
      <c r="L24" s="296"/>
    </row>
    <row r="25" spans="1:12" x14ac:dyDescent="0.2">
      <c r="A25">
        <v>2038</v>
      </c>
      <c r="B25" s="295">
        <v>35369.810834999997</v>
      </c>
      <c r="C25" s="295">
        <v>43549.301325</v>
      </c>
      <c r="D25" s="295">
        <v>36421.510125000001</v>
      </c>
      <c r="E25" s="295">
        <v>38376.889319000002</v>
      </c>
      <c r="F25" s="295">
        <v>14624.287496000001</v>
      </c>
      <c r="G25" s="295">
        <v>32909.761159000001</v>
      </c>
      <c r="H25" s="295">
        <v>29280.435260999999</v>
      </c>
      <c r="I25" s="295">
        <v>11353.471777000001</v>
      </c>
      <c r="J25" s="295">
        <v>19520.728606000001</v>
      </c>
      <c r="K25" s="295">
        <v>7095.4716669999998</v>
      </c>
      <c r="L25" s="296"/>
    </row>
    <row r="26" spans="1:12" x14ac:dyDescent="0.2">
      <c r="A26">
        <v>2039</v>
      </c>
      <c r="B26" s="295">
        <v>35369.810834999997</v>
      </c>
      <c r="C26" s="295">
        <v>43549.301325</v>
      </c>
      <c r="D26" s="295">
        <v>36421.510125000001</v>
      </c>
      <c r="E26" s="295">
        <v>38376.889319000002</v>
      </c>
      <c r="F26" s="295">
        <v>14624.287496000001</v>
      </c>
      <c r="G26" s="295">
        <v>32909.761159000001</v>
      </c>
      <c r="H26" s="295">
        <v>29280.435260999999</v>
      </c>
      <c r="I26" s="295">
        <v>11353.471777000001</v>
      </c>
      <c r="J26" s="295">
        <v>19520.728606000001</v>
      </c>
      <c r="K26" s="295">
        <v>7095.4716669999998</v>
      </c>
      <c r="L26" s="296"/>
    </row>
    <row r="27" spans="1:12" x14ac:dyDescent="0.2">
      <c r="B27" s="295"/>
      <c r="L27" s="296"/>
    </row>
    <row r="28" spans="1:12" x14ac:dyDescent="0.2">
      <c r="L28" s="296"/>
    </row>
    <row r="29" spans="1:12" x14ac:dyDescent="0.2">
      <c r="L29" s="296"/>
    </row>
    <row r="30" spans="1:12" x14ac:dyDescent="0.2">
      <c r="B30" s="146"/>
      <c r="L30" s="296"/>
    </row>
    <row r="31" spans="1:12" ht="17.25" x14ac:dyDescent="0.3">
      <c r="A31" s="274" t="s">
        <v>254</v>
      </c>
      <c r="L31" s="296"/>
    </row>
    <row r="32" spans="1:12" x14ac:dyDescent="0.2">
      <c r="A32" s="275" t="s">
        <v>227</v>
      </c>
      <c r="B32" s="277" t="s">
        <v>234</v>
      </c>
      <c r="C32" s="277" t="s">
        <v>236</v>
      </c>
      <c r="D32" s="277" t="s">
        <v>238</v>
      </c>
      <c r="E32" s="277" t="s">
        <v>240</v>
      </c>
      <c r="F32" s="277" t="s">
        <v>242</v>
      </c>
      <c r="G32" s="277" t="s">
        <v>244</v>
      </c>
      <c r="H32" s="277" t="s">
        <v>246</v>
      </c>
      <c r="I32" s="277" t="s">
        <v>248</v>
      </c>
      <c r="J32" s="277" t="s">
        <v>250</v>
      </c>
      <c r="K32" s="277" t="s">
        <v>252</v>
      </c>
      <c r="L32" s="296"/>
    </row>
    <row r="33" spans="1:12" x14ac:dyDescent="0.2">
      <c r="A33" s="275" t="s">
        <v>228</v>
      </c>
      <c r="B33" s="277" t="s">
        <v>235</v>
      </c>
      <c r="C33" s="277" t="s">
        <v>237</v>
      </c>
      <c r="D33" s="277" t="s">
        <v>239</v>
      </c>
      <c r="E33" s="277" t="s">
        <v>241</v>
      </c>
      <c r="F33" s="277" t="s">
        <v>243</v>
      </c>
      <c r="G33" s="277" t="s">
        <v>245</v>
      </c>
      <c r="H33" s="277" t="s">
        <v>247</v>
      </c>
      <c r="I33" s="277" t="s">
        <v>249</v>
      </c>
      <c r="J33" s="277" t="s">
        <v>251</v>
      </c>
      <c r="K33" s="277" t="s">
        <v>253</v>
      </c>
      <c r="L33" s="296"/>
    </row>
    <row r="34" spans="1:12" ht="25.5" x14ac:dyDescent="0.2">
      <c r="A34" s="276" t="s">
        <v>229</v>
      </c>
      <c r="B34" s="278">
        <v>35369.810834999997</v>
      </c>
      <c r="C34" s="278">
        <v>43549.301325</v>
      </c>
      <c r="D34" s="278">
        <v>36421.510125000001</v>
      </c>
      <c r="E34" s="278">
        <v>38376.889319000002</v>
      </c>
      <c r="F34" s="278">
        <v>14624.287496000001</v>
      </c>
      <c r="G34" s="278">
        <v>32909.761159000001</v>
      </c>
      <c r="H34" s="278">
        <v>29280.435260999999</v>
      </c>
      <c r="I34" s="278">
        <v>11353.471777000001</v>
      </c>
      <c r="J34" s="278">
        <v>19520.728606000001</v>
      </c>
      <c r="K34" s="278">
        <v>7095.4716669999998</v>
      </c>
      <c r="L34" s="296"/>
    </row>
    <row r="35" spans="1:12" s="173" customFormat="1" x14ac:dyDescent="0.2">
      <c r="A35" s="299" t="s">
        <v>230</v>
      </c>
      <c r="B35" s="300">
        <v>311621.80723099998</v>
      </c>
      <c r="C35" s="300">
        <v>128198.397289</v>
      </c>
      <c r="D35" s="300">
        <v>136489.68594200001</v>
      </c>
      <c r="E35" s="300">
        <v>140937.83874499999</v>
      </c>
      <c r="F35" s="300">
        <v>52483.264876000001</v>
      </c>
      <c r="G35" s="300">
        <v>54524.207391999997</v>
      </c>
      <c r="H35" s="300">
        <f>133227.697784/2</f>
        <v>66613.848891999995</v>
      </c>
      <c r="I35" s="300">
        <v>54069.036286000002</v>
      </c>
      <c r="J35" s="300">
        <v>51186.527765999999</v>
      </c>
      <c r="K35" s="300">
        <v>54583.676394000002</v>
      </c>
      <c r="L35" s="296">
        <f>SUM(A35:K35)</f>
        <v>1050708.2908129999</v>
      </c>
    </row>
    <row r="36" spans="1:12" x14ac:dyDescent="0.2">
      <c r="B36" s="9" t="s">
        <v>341</v>
      </c>
      <c r="C36" s="9" t="s">
        <v>342</v>
      </c>
      <c r="D36" s="9" t="s">
        <v>342</v>
      </c>
      <c r="E36" s="9" t="s">
        <v>342</v>
      </c>
      <c r="F36" s="9" t="s">
        <v>341</v>
      </c>
      <c r="G36" s="9" t="s">
        <v>341</v>
      </c>
      <c r="H36" s="9" t="s">
        <v>341</v>
      </c>
      <c r="I36" s="9" t="s">
        <v>341</v>
      </c>
      <c r="J36" s="9" t="s">
        <v>341</v>
      </c>
      <c r="K36" s="9" t="s">
        <v>342</v>
      </c>
    </row>
  </sheetData>
  <pageMargins left="0.7" right="0.7" top="0.75" bottom="0.75" header="0.3" footer="0.3"/>
  <pageSetup paperSize="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9"/>
  <sheetViews>
    <sheetView workbookViewId="0">
      <selection activeCell="M34" sqref="M34"/>
    </sheetView>
  </sheetViews>
  <sheetFormatPr defaultRowHeight="12.75" x14ac:dyDescent="0.2"/>
  <cols>
    <col min="1" max="1" width="2.140625" customWidth="1"/>
    <col min="2" max="2" width="19.85546875" bestFit="1" customWidth="1"/>
    <col min="3" max="4" width="10.28515625" bestFit="1" customWidth="1"/>
    <col min="5" max="5" width="2.5703125" customWidth="1"/>
    <col min="6" max="6" width="11.7109375" bestFit="1" customWidth="1"/>
    <col min="7" max="7" width="2.5703125" customWidth="1"/>
    <col min="10" max="10" width="3" customWidth="1"/>
  </cols>
  <sheetData>
    <row r="2" spans="2:14" x14ac:dyDescent="0.2">
      <c r="C2" t="s">
        <v>98</v>
      </c>
      <c r="D2" t="s">
        <v>97</v>
      </c>
      <c r="H2" s="134" t="s">
        <v>99</v>
      </c>
      <c r="I2" s="135"/>
      <c r="K2" s="136" t="s">
        <v>100</v>
      </c>
      <c r="L2" s="137"/>
      <c r="M2" s="137"/>
      <c r="N2" s="138"/>
    </row>
    <row r="3" spans="2:14" x14ac:dyDescent="0.2">
      <c r="H3" s="139">
        <v>3.58</v>
      </c>
      <c r="I3" s="140" t="s">
        <v>33</v>
      </c>
      <c r="K3" s="141">
        <v>4.7</v>
      </c>
      <c r="L3" s="142" t="s">
        <v>33</v>
      </c>
      <c r="M3" s="142"/>
      <c r="N3" s="143"/>
    </row>
    <row r="4" spans="2:14" x14ac:dyDescent="0.2">
      <c r="B4" t="s">
        <v>101</v>
      </c>
      <c r="C4" s="148">
        <v>13700</v>
      </c>
      <c r="D4" s="148">
        <v>16000</v>
      </c>
      <c r="E4" s="148"/>
      <c r="F4" s="148">
        <f t="shared" ref="F4:F10" si="0">C4-D4</f>
        <v>-2300</v>
      </c>
    </row>
    <row r="5" spans="2:14" x14ac:dyDescent="0.2">
      <c r="B5" t="s">
        <v>102</v>
      </c>
      <c r="C5" s="149">
        <v>20400</v>
      </c>
      <c r="D5" s="150">
        <v>7000</v>
      </c>
      <c r="E5" s="148"/>
      <c r="F5" s="148">
        <f t="shared" si="0"/>
        <v>13400</v>
      </c>
      <c r="H5">
        <f>H3-K3</f>
        <v>-1.1200000000000001</v>
      </c>
    </row>
    <row r="6" spans="2:14" x14ac:dyDescent="0.2">
      <c r="B6" t="s">
        <v>103</v>
      </c>
      <c r="C6" s="151">
        <v>35600</v>
      </c>
      <c r="D6" s="152">
        <v>36000</v>
      </c>
      <c r="E6" s="148"/>
      <c r="F6" s="148">
        <f t="shared" si="0"/>
        <v>-400</v>
      </c>
    </row>
    <row r="7" spans="2:14" x14ac:dyDescent="0.2">
      <c r="B7" t="s">
        <v>104</v>
      </c>
      <c r="C7" s="151">
        <v>51000</v>
      </c>
      <c r="D7" s="152">
        <v>35000</v>
      </c>
      <c r="E7" s="148"/>
      <c r="F7" s="148">
        <f t="shared" si="0"/>
        <v>16000</v>
      </c>
    </row>
    <row r="8" spans="2:14" x14ac:dyDescent="0.2">
      <c r="B8" t="s">
        <v>105</v>
      </c>
      <c r="C8" s="151">
        <v>47500</v>
      </c>
      <c r="D8" s="152">
        <v>27000</v>
      </c>
      <c r="E8" s="148"/>
      <c r="F8" s="148">
        <f t="shared" si="0"/>
        <v>20500</v>
      </c>
    </row>
    <row r="9" spans="2:14" x14ac:dyDescent="0.2">
      <c r="B9" t="s">
        <v>106</v>
      </c>
      <c r="C9" s="151">
        <v>42900</v>
      </c>
      <c r="D9" s="152">
        <v>44000</v>
      </c>
      <c r="E9" s="148"/>
      <c r="F9" s="148">
        <f t="shared" si="0"/>
        <v>-1100</v>
      </c>
    </row>
    <row r="10" spans="2:14" x14ac:dyDescent="0.2">
      <c r="B10" t="s">
        <v>107</v>
      </c>
      <c r="C10" s="153">
        <v>26500</v>
      </c>
      <c r="D10" s="154">
        <v>32000</v>
      </c>
      <c r="E10" s="148"/>
      <c r="F10" s="148">
        <f t="shared" si="0"/>
        <v>-5500</v>
      </c>
    </row>
    <row r="11" spans="2:14" x14ac:dyDescent="0.2">
      <c r="B11" t="s">
        <v>108</v>
      </c>
      <c r="C11" s="155">
        <v>21900</v>
      </c>
      <c r="D11" s="156"/>
      <c r="E11" s="148"/>
      <c r="F11" s="148"/>
    </row>
    <row r="12" spans="2:14" x14ac:dyDescent="0.2">
      <c r="B12" t="s">
        <v>109</v>
      </c>
      <c r="C12" s="148">
        <v>10400</v>
      </c>
      <c r="D12" s="148">
        <v>18100</v>
      </c>
      <c r="E12" s="148"/>
      <c r="F12" s="148"/>
    </row>
    <row r="14" spans="2:14" ht="15" x14ac:dyDescent="0.25">
      <c r="B14" s="121"/>
      <c r="C14" s="144" t="s">
        <v>110</v>
      </c>
      <c r="D14" s="121"/>
      <c r="F14" s="145">
        <f>SUM(F5:F13)</f>
        <v>42900</v>
      </c>
      <c r="G14" s="121" t="s">
        <v>111</v>
      </c>
      <c r="H14" s="121"/>
      <c r="I14" s="121"/>
      <c r="J14" s="121"/>
    </row>
    <row r="15" spans="2:14" ht="15" x14ac:dyDescent="0.25">
      <c r="F15" s="145">
        <f>F14*365</f>
        <v>15658500</v>
      </c>
      <c r="G15" t="s">
        <v>112</v>
      </c>
    </row>
    <row r="19" spans="4:6" x14ac:dyDescent="0.2">
      <c r="D19" s="9" t="s">
        <v>33</v>
      </c>
      <c r="F19" s="147">
        <f>F15*H5</f>
        <v>-17537520</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8"/>
  <sheetViews>
    <sheetView workbookViewId="0">
      <selection activeCell="B22" sqref="B22"/>
    </sheetView>
  </sheetViews>
  <sheetFormatPr defaultRowHeight="12.75" x14ac:dyDescent="0.2"/>
  <cols>
    <col min="1" max="1" width="14" customWidth="1"/>
    <col min="2" max="2" width="10.28515625" bestFit="1" customWidth="1"/>
  </cols>
  <sheetData>
    <row r="1" spans="1:15" x14ac:dyDescent="0.2">
      <c r="I1" s="9" t="s">
        <v>370</v>
      </c>
      <c r="J1" s="191" t="s">
        <v>366</v>
      </c>
      <c r="O1" s="191" t="s">
        <v>371</v>
      </c>
    </row>
    <row r="2" spans="1:15" x14ac:dyDescent="0.2">
      <c r="B2" s="9" t="s">
        <v>358</v>
      </c>
      <c r="J2" s="191" t="s">
        <v>367</v>
      </c>
      <c r="O2" s="191" t="s">
        <v>372</v>
      </c>
    </row>
    <row r="3" spans="1:15" x14ac:dyDescent="0.2">
      <c r="B3" s="9" t="s">
        <v>359</v>
      </c>
      <c r="J3" s="191" t="s">
        <v>368</v>
      </c>
      <c r="O3" s="191" t="s">
        <v>373</v>
      </c>
    </row>
    <row r="4" spans="1:15" x14ac:dyDescent="0.2">
      <c r="J4" s="191" t="s">
        <v>369</v>
      </c>
      <c r="O4" s="191" t="s">
        <v>374</v>
      </c>
    </row>
    <row r="5" spans="1:15" x14ac:dyDescent="0.2">
      <c r="B5" s="9" t="s">
        <v>363</v>
      </c>
      <c r="O5" s="191" t="s">
        <v>375</v>
      </c>
    </row>
    <row r="7" spans="1:15" x14ac:dyDescent="0.2">
      <c r="A7" s="9" t="s">
        <v>360</v>
      </c>
      <c r="B7">
        <v>284</v>
      </c>
    </row>
    <row r="8" spans="1:15" x14ac:dyDescent="0.2">
      <c r="A8" s="9" t="s">
        <v>361</v>
      </c>
      <c r="B8">
        <v>356</v>
      </c>
    </row>
    <row r="9" spans="1:15" x14ac:dyDescent="0.2">
      <c r="A9" s="9" t="s">
        <v>354</v>
      </c>
      <c r="B9" s="312">
        <f>AVERAGE(B7:B8)</f>
        <v>320</v>
      </c>
      <c r="C9" s="9" t="s">
        <v>362</v>
      </c>
    </row>
    <row r="17" spans="1:12" x14ac:dyDescent="0.2">
      <c r="B17" s="295">
        <f>A19*B9</f>
        <v>1.7074371807999909</v>
      </c>
    </row>
    <row r="18" spans="1:12" x14ac:dyDescent="0.2">
      <c r="A18" s="9" t="s">
        <v>364</v>
      </c>
    </row>
    <row r="19" spans="1:12" x14ac:dyDescent="0.2">
      <c r="A19" s="313">
        <f>Corridors!J26/1000000</f>
        <v>5.3357411899999712E-3</v>
      </c>
      <c r="B19">
        <f>-1.71</f>
        <v>-1.71</v>
      </c>
      <c r="C19" t="s">
        <v>365</v>
      </c>
    </row>
    <row r="23" spans="1:12" x14ac:dyDescent="0.2">
      <c r="B23" s="295"/>
    </row>
    <row r="29" spans="1:12" x14ac:dyDescent="0.2">
      <c r="A29" s="317">
        <f>A19*1000000</f>
        <v>5335.7411899999715</v>
      </c>
      <c r="B29" s="318"/>
      <c r="C29" s="318"/>
      <c r="D29" s="318"/>
      <c r="E29" s="318"/>
      <c r="F29" s="318"/>
      <c r="G29" s="318"/>
      <c r="H29" s="318"/>
      <c r="I29" s="318"/>
      <c r="J29" s="318"/>
      <c r="K29" s="318"/>
      <c r="L29" s="214"/>
    </row>
    <row r="30" spans="1:12" x14ac:dyDescent="0.2">
      <c r="A30" s="215"/>
      <c r="B30" s="18"/>
      <c r="C30" s="18"/>
      <c r="D30" s="18"/>
      <c r="E30" s="18"/>
      <c r="F30" s="18"/>
      <c r="G30" s="18"/>
      <c r="H30" s="18"/>
      <c r="I30" s="18"/>
      <c r="J30" s="18"/>
      <c r="K30" s="18"/>
      <c r="L30" s="216"/>
    </row>
    <row r="31" spans="1:12" x14ac:dyDescent="0.2">
      <c r="A31" s="215"/>
      <c r="B31" s="18"/>
      <c r="C31" s="18"/>
      <c r="D31" s="18"/>
      <c r="E31" s="18"/>
      <c r="F31" s="18"/>
      <c r="G31" s="18"/>
      <c r="H31" s="18"/>
      <c r="I31" s="18"/>
      <c r="J31" s="18"/>
      <c r="K31" s="18"/>
      <c r="L31" s="216"/>
    </row>
    <row r="32" spans="1:12" x14ac:dyDescent="0.2">
      <c r="A32" s="215"/>
      <c r="B32" s="18"/>
      <c r="C32" s="18"/>
      <c r="D32" s="18"/>
      <c r="E32" s="18"/>
      <c r="F32" s="18"/>
      <c r="G32" s="18"/>
      <c r="H32" s="18"/>
      <c r="I32" s="18"/>
      <c r="J32" s="18"/>
      <c r="K32" s="18"/>
      <c r="L32" s="216"/>
    </row>
    <row r="33" spans="1:12" x14ac:dyDescent="0.2">
      <c r="A33" s="215" t="s">
        <v>380</v>
      </c>
      <c r="B33" s="18">
        <v>0.11</v>
      </c>
      <c r="C33" s="18" t="s">
        <v>377</v>
      </c>
      <c r="D33" s="18"/>
      <c r="E33" s="18"/>
      <c r="F33" s="18"/>
      <c r="G33" s="18"/>
      <c r="H33" s="18"/>
      <c r="I33" s="18"/>
      <c r="J33" s="18"/>
      <c r="K33" s="18"/>
      <c r="L33" s="216"/>
    </row>
    <row r="34" spans="1:12" x14ac:dyDescent="0.2">
      <c r="A34" s="215"/>
      <c r="B34" s="18"/>
      <c r="C34" s="18"/>
      <c r="D34" s="18"/>
      <c r="E34" s="18"/>
      <c r="F34" s="18"/>
      <c r="G34" s="18"/>
      <c r="H34" s="18"/>
      <c r="I34" s="18"/>
      <c r="J34" s="18"/>
      <c r="K34" s="18"/>
      <c r="L34" s="216"/>
    </row>
    <row r="35" spans="1:12" x14ac:dyDescent="0.2">
      <c r="A35" s="215" t="s">
        <v>378</v>
      </c>
      <c r="B35" s="18"/>
      <c r="C35" s="18"/>
      <c r="D35" s="18"/>
      <c r="E35" s="18"/>
      <c r="F35" s="18"/>
      <c r="G35" s="18"/>
      <c r="H35" s="18"/>
      <c r="I35" s="18"/>
      <c r="J35" s="18"/>
      <c r="K35" s="18"/>
      <c r="L35" s="216"/>
    </row>
    <row r="36" spans="1:12" x14ac:dyDescent="0.2">
      <c r="A36" s="215">
        <v>8242</v>
      </c>
      <c r="B36" s="18">
        <f>A36*B33</f>
        <v>906.62</v>
      </c>
      <c r="C36" s="18" t="s">
        <v>381</v>
      </c>
      <c r="D36" s="18"/>
      <c r="E36" s="18"/>
      <c r="F36" s="18"/>
      <c r="G36" s="18"/>
      <c r="H36" s="18"/>
      <c r="I36" s="18"/>
      <c r="J36" s="18"/>
      <c r="K36" s="18"/>
      <c r="L36" s="216"/>
    </row>
    <row r="37" spans="1:12" x14ac:dyDescent="0.2">
      <c r="A37" s="215" t="s">
        <v>379</v>
      </c>
      <c r="B37" s="18"/>
      <c r="C37" s="18"/>
      <c r="D37" s="18"/>
      <c r="E37" s="18"/>
      <c r="F37" s="18"/>
      <c r="G37" s="18"/>
      <c r="H37" s="18"/>
      <c r="I37" s="18"/>
      <c r="J37" s="18"/>
      <c r="K37" s="18"/>
      <c r="L37" s="216"/>
    </row>
    <row r="38" spans="1:12" x14ac:dyDescent="0.2">
      <c r="A38" s="319"/>
      <c r="B38" s="321">
        <f>B36/60</f>
        <v>15.110333333333333</v>
      </c>
      <c r="C38" s="321" t="s">
        <v>382</v>
      </c>
      <c r="D38" s="321"/>
      <c r="E38" s="252" t="s">
        <v>383</v>
      </c>
      <c r="F38" s="252"/>
      <c r="G38" s="252"/>
      <c r="H38" s="252"/>
      <c r="I38" s="252"/>
      <c r="J38" s="252"/>
      <c r="K38" s="252"/>
      <c r="L38" s="320" t="s">
        <v>384</v>
      </c>
    </row>
  </sheetData>
  <pageMargins left="0.7" right="0.7" top="0.75" bottom="0.75" header="0.3" footer="0.3"/>
  <drawing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22"/>
  <sheetViews>
    <sheetView workbookViewId="0">
      <selection activeCell="C25" sqref="C25"/>
    </sheetView>
  </sheetViews>
  <sheetFormatPr defaultRowHeight="12.75" x14ac:dyDescent="0.2"/>
  <cols>
    <col min="2" max="2" width="34.5703125" bestFit="1" customWidth="1"/>
    <col min="3" max="3" width="11.28515625" bestFit="1" customWidth="1"/>
  </cols>
  <sheetData>
    <row r="1" spans="2:4" x14ac:dyDescent="0.2">
      <c r="B1" s="9" t="s">
        <v>160</v>
      </c>
      <c r="C1">
        <v>2647</v>
      </c>
    </row>
    <row r="2" spans="2:4" x14ac:dyDescent="0.2">
      <c r="B2" s="9" t="s">
        <v>162</v>
      </c>
      <c r="C2">
        <f>31/5</f>
        <v>6.2</v>
      </c>
    </row>
    <row r="3" spans="2:4" x14ac:dyDescent="0.2">
      <c r="B3" s="9" t="s">
        <v>163</v>
      </c>
      <c r="C3">
        <f>170/5</f>
        <v>34</v>
      </c>
    </row>
    <row r="4" spans="2:4" x14ac:dyDescent="0.2">
      <c r="B4" s="9" t="s">
        <v>159</v>
      </c>
      <c r="C4">
        <f>C2/C1</f>
        <v>2.3422742727616172E-3</v>
      </c>
    </row>
    <row r="5" spans="2:4" x14ac:dyDescent="0.2">
      <c r="B5" s="9" t="s">
        <v>164</v>
      </c>
      <c r="C5">
        <f>C3/C1</f>
        <v>1.2844729882886286E-2</v>
      </c>
    </row>
    <row r="8" spans="2:4" x14ac:dyDescent="0.2">
      <c r="B8" s="213" t="s">
        <v>161</v>
      </c>
      <c r="C8" s="214"/>
    </row>
    <row r="9" spans="2:4" x14ac:dyDescent="0.2">
      <c r="B9" s="215">
        <v>4</v>
      </c>
      <c r="C9" s="216">
        <f>B9*C4</f>
        <v>9.3690970910464688E-3</v>
      </c>
    </row>
    <row r="10" spans="2:4" x14ac:dyDescent="0.2">
      <c r="B10" s="215" t="s">
        <v>165</v>
      </c>
      <c r="C10" s="216"/>
    </row>
    <row r="11" spans="2:4" x14ac:dyDescent="0.2">
      <c r="B11" s="217">
        <v>0.66</v>
      </c>
      <c r="C11" s="216">
        <f>B11*C9</f>
        <v>6.1836040800906699E-3</v>
      </c>
    </row>
    <row r="12" spans="2:4" x14ac:dyDescent="0.2">
      <c r="B12" s="215"/>
      <c r="C12" s="216"/>
    </row>
    <row r="13" spans="2:4" x14ac:dyDescent="0.2">
      <c r="B13" s="219" t="s">
        <v>166</v>
      </c>
      <c r="C13" s="218">
        <f>C11*Input!B73</f>
        <v>38338.345296562155</v>
      </c>
      <c r="D13" s="9" t="s">
        <v>188</v>
      </c>
    </row>
    <row r="17" spans="2:3" x14ac:dyDescent="0.2">
      <c r="B17" s="213" t="s">
        <v>161</v>
      </c>
      <c r="C17" s="214"/>
    </row>
    <row r="18" spans="2:3" x14ac:dyDescent="0.2">
      <c r="B18" s="215">
        <v>4</v>
      </c>
      <c r="C18" s="216">
        <f>C9</f>
        <v>9.3690970910464688E-3</v>
      </c>
    </row>
    <row r="19" spans="2:3" x14ac:dyDescent="0.2">
      <c r="B19" s="215" t="s">
        <v>165</v>
      </c>
      <c r="C19" s="216"/>
    </row>
    <row r="20" spans="2:3" x14ac:dyDescent="0.2">
      <c r="B20" s="217">
        <v>0.66</v>
      </c>
      <c r="C20" s="216">
        <f>C11</f>
        <v>6.1836040800906699E-3</v>
      </c>
    </row>
    <row r="21" spans="2:3" x14ac:dyDescent="0.2">
      <c r="B21" s="215"/>
      <c r="C21" s="216"/>
    </row>
    <row r="22" spans="2:3" x14ac:dyDescent="0.2">
      <c r="B22" s="219" t="s">
        <v>168</v>
      </c>
      <c r="C22" s="218">
        <f>C20*Input!B74</f>
        <v>1422.2289384208541</v>
      </c>
    </row>
  </sheetData>
  <pageMargins left="0.7" right="0.7" top="0.75" bottom="0.75" header="0.3" footer="0.3"/>
  <pageSetup paperSize="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4:S41"/>
  <sheetViews>
    <sheetView topLeftCell="A7" workbookViewId="0">
      <selection activeCell="E42" sqref="E42"/>
    </sheetView>
  </sheetViews>
  <sheetFormatPr defaultColWidth="8.7109375" defaultRowHeight="15" x14ac:dyDescent="0.25"/>
  <cols>
    <col min="1" max="2" width="8.7109375" style="522"/>
    <col min="3" max="3" width="7.140625" style="522" customWidth="1"/>
    <col min="4" max="13" width="8.7109375" style="522"/>
    <col min="14" max="14" width="12.42578125" style="522" bestFit="1" customWidth="1"/>
    <col min="15" max="15" width="8.7109375" style="522"/>
    <col min="16" max="16" width="18.7109375" style="522" bestFit="1" customWidth="1"/>
    <col min="17" max="17" width="11.7109375" style="522" bestFit="1" customWidth="1"/>
    <col min="18" max="16384" width="8.7109375" style="522"/>
  </cols>
  <sheetData>
    <row r="4" spans="1:19" ht="21" x14ac:dyDescent="0.35">
      <c r="C4" s="539" t="s">
        <v>785</v>
      </c>
      <c r="J4" s="540" t="s">
        <v>786</v>
      </c>
    </row>
    <row r="5" spans="1:19" x14ac:dyDescent="0.25">
      <c r="J5" s="540"/>
      <c r="N5" s="541" t="s">
        <v>787</v>
      </c>
      <c r="P5" s="522" t="s">
        <v>788</v>
      </c>
    </row>
    <row r="6" spans="1:19" x14ac:dyDescent="0.25">
      <c r="A6" s="522" t="s">
        <v>789</v>
      </c>
      <c r="B6" s="522">
        <v>1</v>
      </c>
      <c r="C6" s="949" t="s">
        <v>790</v>
      </c>
      <c r="D6" s="950"/>
      <c r="E6" s="950"/>
      <c r="F6" s="950"/>
      <c r="G6" s="950"/>
      <c r="H6" s="950"/>
      <c r="I6" s="950"/>
      <c r="J6" s="950"/>
      <c r="K6" s="950"/>
      <c r="L6" s="950"/>
      <c r="M6" s="951"/>
      <c r="N6" s="542" t="s">
        <v>791</v>
      </c>
      <c r="O6" s="543"/>
      <c r="P6" s="544" t="s">
        <v>792</v>
      </c>
    </row>
    <row r="7" spans="1:19" x14ac:dyDescent="0.25">
      <c r="A7" s="522" t="s">
        <v>789</v>
      </c>
      <c r="B7" s="522">
        <v>2</v>
      </c>
      <c r="C7" s="946" t="s">
        <v>793</v>
      </c>
      <c r="D7" s="947"/>
      <c r="E7" s="947"/>
      <c r="F7" s="947"/>
      <c r="G7" s="947"/>
      <c r="H7" s="947"/>
      <c r="I7" s="947"/>
      <c r="J7" s="947"/>
      <c r="K7" s="947"/>
      <c r="L7" s="947"/>
      <c r="M7" s="948"/>
      <c r="N7" s="545" t="s">
        <v>791</v>
      </c>
      <c r="O7" s="546"/>
      <c r="P7" s="547" t="s">
        <v>792</v>
      </c>
    </row>
    <row r="8" spans="1:19" x14ac:dyDescent="0.25">
      <c r="C8" s="952" t="s">
        <v>794</v>
      </c>
      <c r="D8" s="953"/>
      <c r="E8" s="953"/>
      <c r="F8" s="953"/>
      <c r="G8" s="953"/>
      <c r="H8" s="953"/>
      <c r="I8" s="953"/>
      <c r="J8" s="953"/>
      <c r="K8" s="953"/>
      <c r="L8" s="953"/>
      <c r="M8" s="954"/>
      <c r="N8" s="545"/>
      <c r="O8" s="546"/>
      <c r="P8" s="548"/>
    </row>
    <row r="9" spans="1:19" x14ac:dyDescent="0.25">
      <c r="A9" s="522" t="s">
        <v>789</v>
      </c>
      <c r="B9" s="522">
        <v>3</v>
      </c>
      <c r="C9" s="946" t="s">
        <v>795</v>
      </c>
      <c r="D9" s="947"/>
      <c r="E9" s="947"/>
      <c r="F9" s="947"/>
      <c r="G9" s="947"/>
      <c r="H9" s="947"/>
      <c r="I9" s="947"/>
      <c r="J9" s="947"/>
      <c r="K9" s="947"/>
      <c r="L9" s="947"/>
      <c r="M9" s="948"/>
      <c r="N9" s="545" t="s">
        <v>791</v>
      </c>
      <c r="O9" s="546"/>
      <c r="P9" s="548" t="s">
        <v>792</v>
      </c>
    </row>
    <row r="10" spans="1:19" x14ac:dyDescent="0.25">
      <c r="A10" s="522" t="s">
        <v>796</v>
      </c>
      <c r="B10" s="522">
        <v>4</v>
      </c>
      <c r="C10" s="955" t="s">
        <v>797</v>
      </c>
      <c r="D10" s="956"/>
      <c r="E10" s="956"/>
      <c r="F10" s="956"/>
      <c r="G10" s="956"/>
      <c r="H10" s="956"/>
      <c r="I10" s="956"/>
      <c r="J10" s="956"/>
      <c r="K10" s="956"/>
      <c r="L10" s="956"/>
      <c r="M10" s="957"/>
      <c r="N10" s="545" t="s">
        <v>798</v>
      </c>
      <c r="O10" s="546"/>
      <c r="P10" s="548" t="s">
        <v>792</v>
      </c>
    </row>
    <row r="11" spans="1:19" x14ac:dyDescent="0.25">
      <c r="A11" s="522" t="s">
        <v>796</v>
      </c>
      <c r="B11" s="522">
        <v>5</v>
      </c>
      <c r="C11" s="955" t="s">
        <v>799</v>
      </c>
      <c r="D11" s="956"/>
      <c r="E11" s="956"/>
      <c r="F11" s="956"/>
      <c r="G11" s="956"/>
      <c r="H11" s="956"/>
      <c r="I11" s="956"/>
      <c r="J11" s="956"/>
      <c r="K11" s="956"/>
      <c r="L11" s="956"/>
      <c r="M11" s="957"/>
      <c r="N11" s="545" t="s">
        <v>800</v>
      </c>
      <c r="O11" s="546"/>
      <c r="P11" s="548" t="s">
        <v>792</v>
      </c>
    </row>
    <row r="12" spans="1:19" x14ac:dyDescent="0.25">
      <c r="A12" s="522" t="s">
        <v>796</v>
      </c>
      <c r="B12" s="522">
        <v>6</v>
      </c>
      <c r="C12" s="955" t="s">
        <v>801</v>
      </c>
      <c r="D12" s="956"/>
      <c r="E12" s="956"/>
      <c r="F12" s="956"/>
      <c r="G12" s="956"/>
      <c r="H12" s="956"/>
      <c r="I12" s="956"/>
      <c r="J12" s="956"/>
      <c r="K12" s="956"/>
      <c r="L12" s="956"/>
      <c r="M12" s="957"/>
      <c r="N12" s="545" t="s">
        <v>800</v>
      </c>
      <c r="O12" s="546"/>
      <c r="P12" s="548" t="s">
        <v>792</v>
      </c>
    </row>
    <row r="13" spans="1:19" x14ac:dyDescent="0.25">
      <c r="B13" s="522">
        <v>7</v>
      </c>
      <c r="C13" s="946" t="s">
        <v>802</v>
      </c>
      <c r="D13" s="947"/>
      <c r="E13" s="947"/>
      <c r="F13" s="947"/>
      <c r="G13" s="947"/>
      <c r="H13" s="947"/>
      <c r="I13" s="947"/>
      <c r="J13" s="947"/>
      <c r="K13" s="947"/>
      <c r="L13" s="947"/>
      <c r="M13" s="948"/>
      <c r="N13" s="545" t="s">
        <v>803</v>
      </c>
      <c r="O13" s="546"/>
      <c r="P13" s="548" t="s">
        <v>792</v>
      </c>
    </row>
    <row r="14" spans="1:19" x14ac:dyDescent="0.25">
      <c r="B14" s="522">
        <v>8</v>
      </c>
      <c r="C14" s="958" t="s">
        <v>804</v>
      </c>
      <c r="D14" s="959"/>
      <c r="E14" s="959"/>
      <c r="F14" s="959"/>
      <c r="G14" s="959"/>
      <c r="H14" s="959"/>
      <c r="I14" s="959"/>
      <c r="J14" s="959"/>
      <c r="K14" s="959"/>
      <c r="L14" s="959"/>
      <c r="M14" s="960"/>
      <c r="N14" s="545" t="s">
        <v>805</v>
      </c>
      <c r="O14" s="546"/>
      <c r="P14" s="549" t="s">
        <v>806</v>
      </c>
    </row>
    <row r="15" spans="1:19" x14ac:dyDescent="0.25">
      <c r="B15" s="522">
        <v>9</v>
      </c>
      <c r="C15" s="958" t="s">
        <v>807</v>
      </c>
      <c r="D15" s="959"/>
      <c r="E15" s="959"/>
      <c r="F15" s="959"/>
      <c r="G15" s="959"/>
      <c r="H15" s="959"/>
      <c r="I15" s="959"/>
      <c r="J15" s="959"/>
      <c r="K15" s="959"/>
      <c r="L15" s="959"/>
      <c r="M15" s="960"/>
      <c r="N15" s="545" t="s">
        <v>805</v>
      </c>
      <c r="O15" s="546"/>
      <c r="P15" s="548" t="s">
        <v>806</v>
      </c>
    </row>
    <row r="16" spans="1:19" x14ac:dyDescent="0.25">
      <c r="B16" s="522">
        <v>10</v>
      </c>
      <c r="C16" s="961" t="s">
        <v>808</v>
      </c>
      <c r="D16" s="962"/>
      <c r="E16" s="962"/>
      <c r="F16" s="962"/>
      <c r="G16" s="962"/>
      <c r="H16" s="962"/>
      <c r="I16" s="962"/>
      <c r="J16" s="962"/>
      <c r="K16" s="962"/>
      <c r="L16" s="962"/>
      <c r="M16" s="963"/>
      <c r="N16" s="545" t="s">
        <v>809</v>
      </c>
      <c r="O16" s="546"/>
      <c r="P16" s="548" t="s">
        <v>806</v>
      </c>
      <c r="Q16" s="522" t="s">
        <v>810</v>
      </c>
      <c r="S16" s="522" t="s">
        <v>811</v>
      </c>
    </row>
    <row r="17" spans="2:17" x14ac:dyDescent="0.25">
      <c r="B17" s="522">
        <v>11</v>
      </c>
      <c r="C17" s="946" t="s">
        <v>812</v>
      </c>
      <c r="D17" s="947"/>
      <c r="E17" s="947"/>
      <c r="F17" s="947"/>
      <c r="G17" s="947"/>
      <c r="H17" s="947"/>
      <c r="I17" s="947"/>
      <c r="J17" s="947"/>
      <c r="K17" s="947"/>
      <c r="L17" s="947"/>
      <c r="M17" s="948"/>
      <c r="N17" s="545" t="s">
        <v>813</v>
      </c>
      <c r="O17" s="546"/>
      <c r="P17" s="548" t="s">
        <v>806</v>
      </c>
    </row>
    <row r="18" spans="2:17" x14ac:dyDescent="0.25">
      <c r="B18" s="522">
        <v>12</v>
      </c>
      <c r="C18" s="946" t="s">
        <v>814</v>
      </c>
      <c r="D18" s="947"/>
      <c r="E18" s="947"/>
      <c r="F18" s="947"/>
      <c r="G18" s="947"/>
      <c r="H18" s="947"/>
      <c r="I18" s="947"/>
      <c r="J18" s="947"/>
      <c r="K18" s="947"/>
      <c r="L18" s="947"/>
      <c r="M18" s="948"/>
      <c r="N18" s="545" t="s">
        <v>815</v>
      </c>
      <c r="O18" s="546"/>
      <c r="P18" s="548" t="s">
        <v>792</v>
      </c>
    </row>
    <row r="19" spans="2:17" x14ac:dyDescent="0.25">
      <c r="B19" s="522">
        <v>13</v>
      </c>
      <c r="C19" s="967" t="s">
        <v>816</v>
      </c>
      <c r="D19" s="968"/>
      <c r="E19" s="968"/>
      <c r="F19" s="968"/>
      <c r="G19" s="968"/>
      <c r="H19" s="968"/>
      <c r="I19" s="968"/>
      <c r="J19" s="968"/>
      <c r="K19" s="968"/>
      <c r="L19" s="968"/>
      <c r="M19" s="969"/>
      <c r="N19" s="545" t="s">
        <v>817</v>
      </c>
      <c r="O19" s="546"/>
      <c r="P19" s="548" t="s">
        <v>792</v>
      </c>
      <c r="Q19" s="522" t="s">
        <v>818</v>
      </c>
    </row>
    <row r="20" spans="2:17" x14ac:dyDescent="0.25">
      <c r="B20" s="522">
        <v>14</v>
      </c>
      <c r="C20" s="973" t="s">
        <v>819</v>
      </c>
      <c r="D20" s="947"/>
      <c r="E20" s="947"/>
      <c r="F20" s="947"/>
      <c r="G20" s="947"/>
      <c r="H20" s="947"/>
      <c r="I20" s="947"/>
      <c r="J20" s="947"/>
      <c r="K20" s="947"/>
      <c r="L20" s="947"/>
      <c r="M20" s="948"/>
      <c r="N20" s="550" t="s">
        <v>820</v>
      </c>
      <c r="O20" s="546"/>
      <c r="P20" s="548" t="s">
        <v>792</v>
      </c>
    </row>
    <row r="21" spans="2:17" x14ac:dyDescent="0.25">
      <c r="B21" s="522">
        <v>15</v>
      </c>
      <c r="C21" s="946" t="s">
        <v>821</v>
      </c>
      <c r="D21" s="947"/>
      <c r="E21" s="947"/>
      <c r="F21" s="947"/>
      <c r="G21" s="947"/>
      <c r="H21" s="947"/>
      <c r="I21" s="947"/>
      <c r="J21" s="947"/>
      <c r="K21" s="947"/>
      <c r="L21" s="947"/>
      <c r="M21" s="948"/>
      <c r="N21" s="545" t="s">
        <v>822</v>
      </c>
      <c r="O21" s="546"/>
      <c r="P21" s="548" t="s">
        <v>792</v>
      </c>
    </row>
    <row r="22" spans="2:17" x14ac:dyDescent="0.25">
      <c r="B22" s="522">
        <v>16</v>
      </c>
      <c r="C22" s="946" t="s">
        <v>823</v>
      </c>
      <c r="D22" s="947"/>
      <c r="E22" s="947"/>
      <c r="F22" s="947"/>
      <c r="G22" s="947"/>
      <c r="H22" s="947"/>
      <c r="I22" s="947"/>
      <c r="J22" s="947"/>
      <c r="K22" s="947"/>
      <c r="L22" s="947"/>
      <c r="M22" s="948"/>
      <c r="N22" s="545" t="s">
        <v>822</v>
      </c>
      <c r="O22" s="546"/>
      <c r="P22" s="548" t="s">
        <v>792</v>
      </c>
    </row>
    <row r="23" spans="2:17" x14ac:dyDescent="0.25">
      <c r="C23" s="952" t="s">
        <v>824</v>
      </c>
      <c r="D23" s="947"/>
      <c r="E23" s="947"/>
      <c r="F23" s="947"/>
      <c r="G23" s="947"/>
      <c r="H23" s="947"/>
      <c r="I23" s="947"/>
      <c r="J23" s="947"/>
      <c r="K23" s="947"/>
      <c r="L23" s="947"/>
      <c r="M23" s="948"/>
      <c r="N23" s="550"/>
      <c r="O23" s="551"/>
      <c r="P23" s="548" t="s">
        <v>792</v>
      </c>
    </row>
    <row r="24" spans="2:17" x14ac:dyDescent="0.25">
      <c r="B24" s="522">
        <v>17</v>
      </c>
      <c r="C24" s="964" t="s">
        <v>825</v>
      </c>
      <c r="D24" s="965"/>
      <c r="E24" s="965"/>
      <c r="F24" s="965"/>
      <c r="G24" s="965"/>
      <c r="H24" s="965"/>
      <c r="I24" s="965"/>
      <c r="J24" s="965"/>
      <c r="K24" s="965"/>
      <c r="L24" s="965"/>
      <c r="M24" s="966"/>
      <c r="N24" s="545" t="s">
        <v>822</v>
      </c>
      <c r="O24" s="546"/>
      <c r="P24" s="549" t="s">
        <v>826</v>
      </c>
    </row>
    <row r="25" spans="2:17" x14ac:dyDescent="0.25">
      <c r="B25" s="522">
        <v>18</v>
      </c>
      <c r="C25" s="964" t="s">
        <v>827</v>
      </c>
      <c r="D25" s="965"/>
      <c r="E25" s="965"/>
      <c r="F25" s="965"/>
      <c r="G25" s="965"/>
      <c r="H25" s="965"/>
      <c r="I25" s="965"/>
      <c r="J25" s="965"/>
      <c r="K25" s="965"/>
      <c r="L25" s="965"/>
      <c r="M25" s="966"/>
      <c r="N25" s="545" t="s">
        <v>822</v>
      </c>
      <c r="O25" s="546"/>
      <c r="P25" s="548" t="s">
        <v>826</v>
      </c>
    </row>
    <row r="26" spans="2:17" x14ac:dyDescent="0.25">
      <c r="B26" s="522">
        <v>19</v>
      </c>
      <c r="C26" s="967" t="s">
        <v>828</v>
      </c>
      <c r="D26" s="968"/>
      <c r="E26" s="968"/>
      <c r="F26" s="968"/>
      <c r="G26" s="968"/>
      <c r="H26" s="968"/>
      <c r="I26" s="968"/>
      <c r="J26" s="968"/>
      <c r="K26" s="968"/>
      <c r="L26" s="968"/>
      <c r="M26" s="969"/>
      <c r="N26" s="545" t="s">
        <v>829</v>
      </c>
      <c r="O26" s="546"/>
      <c r="P26" s="547" t="s">
        <v>830</v>
      </c>
      <c r="Q26" s="522" t="s">
        <v>831</v>
      </c>
    </row>
    <row r="27" spans="2:17" x14ac:dyDescent="0.25">
      <c r="B27" s="522">
        <v>20</v>
      </c>
      <c r="C27" s="970" t="s">
        <v>832</v>
      </c>
      <c r="D27" s="971"/>
      <c r="E27" s="971"/>
      <c r="F27" s="971"/>
      <c r="G27" s="971"/>
      <c r="H27" s="971"/>
      <c r="I27" s="971"/>
      <c r="J27" s="971"/>
      <c r="K27" s="971"/>
      <c r="L27" s="971"/>
      <c r="M27" s="972"/>
      <c r="N27" s="552" t="s">
        <v>822</v>
      </c>
      <c r="O27" s="553"/>
      <c r="P27" s="554" t="s">
        <v>792</v>
      </c>
    </row>
    <row r="28" spans="2:17" x14ac:dyDescent="0.25">
      <c r="C28" s="555"/>
      <c r="D28" s="555"/>
      <c r="E28" s="555"/>
      <c r="F28" s="555"/>
      <c r="G28" s="555"/>
      <c r="H28" s="555"/>
      <c r="I28" s="555"/>
      <c r="J28" s="555"/>
      <c r="K28" s="555"/>
      <c r="L28" s="555"/>
      <c r="M28" s="555"/>
      <c r="N28" s="556"/>
      <c r="O28" s="556"/>
      <c r="P28" s="556"/>
    </row>
    <row r="29" spans="2:17" x14ac:dyDescent="0.25">
      <c r="B29" s="522" t="s">
        <v>833</v>
      </c>
      <c r="C29" s="522" t="s">
        <v>834</v>
      </c>
      <c r="H29" s="557"/>
      <c r="I29" s="557"/>
      <c r="J29" s="557"/>
      <c r="K29" s="557"/>
    </row>
    <row r="30" spans="2:17" x14ac:dyDescent="0.25">
      <c r="C30" s="522" t="s">
        <v>835</v>
      </c>
      <c r="H30" s="557"/>
      <c r="I30" s="557"/>
      <c r="J30" s="557"/>
      <c r="K30" s="557"/>
    </row>
    <row r="31" spans="2:17" x14ac:dyDescent="0.25">
      <c r="D31" s="522">
        <v>2015</v>
      </c>
      <c r="E31" s="522">
        <v>2045</v>
      </c>
      <c r="H31" s="557"/>
      <c r="I31" s="557"/>
      <c r="J31" s="557"/>
      <c r="K31" s="557"/>
    </row>
    <row r="32" spans="2:17" x14ac:dyDescent="0.25">
      <c r="C32" s="522" t="s">
        <v>836</v>
      </c>
      <c r="D32" s="522">
        <v>26500</v>
      </c>
      <c r="E32" s="558">
        <v>42400</v>
      </c>
      <c r="H32" s="557"/>
      <c r="I32" s="557"/>
      <c r="J32" s="557"/>
      <c r="K32" s="557"/>
    </row>
    <row r="33" spans="3:11" x14ac:dyDescent="0.25">
      <c r="C33" s="522" t="s">
        <v>837</v>
      </c>
      <c r="D33" s="522">
        <f>(0.22*D32)</f>
        <v>5830</v>
      </c>
      <c r="E33" s="558">
        <f>(0.22*E32)</f>
        <v>9328</v>
      </c>
      <c r="H33" s="557"/>
      <c r="I33" s="557"/>
      <c r="J33" s="557"/>
      <c r="K33" s="557"/>
    </row>
    <row r="34" spans="3:11" x14ac:dyDescent="0.25">
      <c r="C34" s="522" t="s">
        <v>838</v>
      </c>
      <c r="D34" s="522">
        <f>(D32-D33)</f>
        <v>20670</v>
      </c>
      <c r="E34" s="558">
        <f>(E32-E33)</f>
        <v>33072</v>
      </c>
      <c r="H34" s="557"/>
      <c r="I34" s="557"/>
      <c r="J34" s="557"/>
      <c r="K34" s="557"/>
    </row>
    <row r="35" spans="3:11" x14ac:dyDescent="0.25">
      <c r="C35" s="522" t="s">
        <v>839</v>
      </c>
      <c r="D35" s="559">
        <v>0.22</v>
      </c>
      <c r="E35" s="559">
        <v>0.22</v>
      </c>
      <c r="H35" s="557"/>
      <c r="I35" s="557"/>
      <c r="J35" s="560"/>
      <c r="K35" s="560"/>
    </row>
    <row r="36" spans="3:11" x14ac:dyDescent="0.25">
      <c r="H36" s="557"/>
      <c r="I36" s="557"/>
      <c r="J36" s="557"/>
      <c r="K36" s="557"/>
    </row>
    <row r="37" spans="3:11" x14ac:dyDescent="0.25">
      <c r="C37" s="522" t="s">
        <v>840</v>
      </c>
      <c r="H37" s="557"/>
      <c r="I37" s="557"/>
      <c r="J37" s="557"/>
      <c r="K37" s="557"/>
    </row>
    <row r="38" spans="3:11" x14ac:dyDescent="0.25">
      <c r="C38" s="522" t="s">
        <v>836</v>
      </c>
      <c r="D38" s="522">
        <v>28500</v>
      </c>
      <c r="E38" s="522">
        <v>45600</v>
      </c>
      <c r="H38" s="557"/>
      <c r="I38" s="557"/>
      <c r="J38" s="557"/>
      <c r="K38" s="557"/>
    </row>
    <row r="39" spans="3:11" x14ac:dyDescent="0.25">
      <c r="C39" s="522" t="s">
        <v>837</v>
      </c>
      <c r="D39" s="522">
        <f>(0.2*D38)</f>
        <v>5700</v>
      </c>
      <c r="E39" s="522">
        <f>(0.2*E38)</f>
        <v>9120</v>
      </c>
      <c r="H39" s="557"/>
      <c r="I39" s="557"/>
      <c r="J39" s="557"/>
      <c r="K39" s="557"/>
    </row>
    <row r="40" spans="3:11" x14ac:dyDescent="0.25">
      <c r="C40" s="522" t="s">
        <v>838</v>
      </c>
      <c r="D40" s="522">
        <f>(D38-D39)</f>
        <v>22800</v>
      </c>
      <c r="E40" s="522">
        <f>(E38-E39)</f>
        <v>36480</v>
      </c>
      <c r="H40" s="557"/>
      <c r="I40" s="557"/>
      <c r="J40" s="557"/>
      <c r="K40" s="557"/>
    </row>
    <row r="41" spans="3:11" x14ac:dyDescent="0.25">
      <c r="C41" s="522" t="s">
        <v>839</v>
      </c>
      <c r="D41" s="559">
        <v>0.2</v>
      </c>
      <c r="E41" s="559">
        <v>0.2</v>
      </c>
      <c r="H41" s="557"/>
      <c r="I41" s="557"/>
      <c r="J41" s="560"/>
      <c r="K41" s="560"/>
    </row>
  </sheetData>
  <mergeCells count="22">
    <mergeCell ref="C24:M24"/>
    <mergeCell ref="C25:M25"/>
    <mergeCell ref="C26:M26"/>
    <mergeCell ref="C27:M27"/>
    <mergeCell ref="C18:M18"/>
    <mergeCell ref="C19:M19"/>
    <mergeCell ref="C20:M20"/>
    <mergeCell ref="C21:M21"/>
    <mergeCell ref="C22:M22"/>
    <mergeCell ref="C23:M23"/>
    <mergeCell ref="C17:M17"/>
    <mergeCell ref="C6:M6"/>
    <mergeCell ref="C7:M7"/>
    <mergeCell ref="C8:M8"/>
    <mergeCell ref="C9:M9"/>
    <mergeCell ref="C10:M10"/>
    <mergeCell ref="C11:M11"/>
    <mergeCell ref="C12:M12"/>
    <mergeCell ref="C13:M13"/>
    <mergeCell ref="C14:M14"/>
    <mergeCell ref="C15:M15"/>
    <mergeCell ref="C16:M16"/>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I14"/>
  <sheetViews>
    <sheetView workbookViewId="0">
      <selection activeCell="C9" sqref="C9:E14"/>
    </sheetView>
  </sheetViews>
  <sheetFormatPr defaultRowHeight="12.75" x14ac:dyDescent="0.2"/>
  <cols>
    <col min="3" max="3" width="13.42578125" bestFit="1" customWidth="1"/>
    <col min="6" max="6" width="10.28515625" bestFit="1" customWidth="1"/>
    <col min="7" max="7" width="11.28515625" bestFit="1" customWidth="1"/>
  </cols>
  <sheetData>
    <row r="8" spans="3:9" x14ac:dyDescent="0.2">
      <c r="F8" s="234" t="s">
        <v>415</v>
      </c>
      <c r="G8" t="s">
        <v>416</v>
      </c>
      <c r="I8" t="s">
        <v>417</v>
      </c>
    </row>
    <row r="9" spans="3:9" x14ac:dyDescent="0.2">
      <c r="C9" t="s">
        <v>411</v>
      </c>
      <c r="F9" s="348">
        <v>55200</v>
      </c>
      <c r="G9" s="346">
        <f>(F9*365)*4</f>
        <v>80592000</v>
      </c>
      <c r="H9">
        <f>G9/1000000</f>
        <v>80.591999999999999</v>
      </c>
    </row>
    <row r="11" spans="3:9" x14ac:dyDescent="0.2">
      <c r="C11" t="s">
        <v>412</v>
      </c>
      <c r="D11">
        <v>94</v>
      </c>
      <c r="E11">
        <f>D11/4</f>
        <v>23.5</v>
      </c>
      <c r="F11" s="347">
        <f>E11/F$9</f>
        <v>4.2572463768115944E-4</v>
      </c>
      <c r="G11" s="295"/>
    </row>
    <row r="12" spans="3:9" x14ac:dyDescent="0.2">
      <c r="C12" t="s">
        <v>413</v>
      </c>
      <c r="D12">
        <v>0</v>
      </c>
      <c r="E12">
        <f>D12/4</f>
        <v>0</v>
      </c>
      <c r="F12" s="347">
        <f>E12/F$9</f>
        <v>0</v>
      </c>
    </row>
    <row r="13" spans="3:9" x14ac:dyDescent="0.2">
      <c r="C13" t="s">
        <v>397</v>
      </c>
      <c r="D13">
        <v>28</v>
      </c>
      <c r="E13">
        <f>D13/4</f>
        <v>7</v>
      </c>
      <c r="F13" s="347">
        <f>E13/F$9</f>
        <v>1.2681159420289856E-4</v>
      </c>
    </row>
    <row r="14" spans="3:9" x14ac:dyDescent="0.2">
      <c r="C14" t="s">
        <v>414</v>
      </c>
      <c r="D14">
        <v>66</v>
      </c>
      <c r="E14">
        <f>D14/4</f>
        <v>16.5</v>
      </c>
      <c r="F14" s="347">
        <f>E14/F$9</f>
        <v>2.9891304347826086E-4</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1"/>
  <sheetViews>
    <sheetView workbookViewId="0">
      <selection activeCell="L30" sqref="L30"/>
    </sheetView>
  </sheetViews>
  <sheetFormatPr defaultRowHeight="12.75" x14ac:dyDescent="0.2"/>
  <cols>
    <col min="1" max="1" width="13.42578125" customWidth="1"/>
    <col min="2" max="3" width="13.7109375" customWidth="1"/>
    <col min="4" max="4" width="12.42578125" bestFit="1" customWidth="1"/>
    <col min="5" max="6" width="10.28515625" bestFit="1" customWidth="1"/>
    <col min="7" max="7" width="11.140625" customWidth="1"/>
    <col min="8" max="9" width="11.28515625" bestFit="1" customWidth="1"/>
    <col min="10" max="10" width="14.5703125" customWidth="1"/>
  </cols>
  <sheetData>
    <row r="1" spans="1:11" x14ac:dyDescent="0.2">
      <c r="A1" t="s">
        <v>411</v>
      </c>
      <c r="H1" t="s">
        <v>418</v>
      </c>
      <c r="I1" t="s">
        <v>419</v>
      </c>
    </row>
    <row r="2" spans="1:11" x14ac:dyDescent="0.2">
      <c r="H2" t="s">
        <v>423</v>
      </c>
      <c r="I2" t="s">
        <v>423</v>
      </c>
    </row>
    <row r="3" spans="1:11" x14ac:dyDescent="0.2">
      <c r="A3" s="126"/>
      <c r="B3" s="359" t="s">
        <v>464</v>
      </c>
      <c r="C3" s="359" t="s">
        <v>465</v>
      </c>
      <c r="H3">
        <v>3.53</v>
      </c>
      <c r="I3">
        <v>1.93</v>
      </c>
    </row>
    <row r="4" spans="1:11" x14ac:dyDescent="0.2">
      <c r="A4" s="126" t="s">
        <v>413</v>
      </c>
      <c r="B4" s="264">
        <v>0</v>
      </c>
      <c r="C4" s="264">
        <f>B4/4</f>
        <v>0</v>
      </c>
    </row>
    <row r="5" spans="1:11" x14ac:dyDescent="0.2">
      <c r="A5" s="126" t="s">
        <v>397</v>
      </c>
      <c r="B5" s="264">
        <v>28</v>
      </c>
      <c r="C5" s="264">
        <f>B5/4</f>
        <v>7</v>
      </c>
      <c r="H5" s="9" t="s">
        <v>9</v>
      </c>
    </row>
    <row r="6" spans="1:11" x14ac:dyDescent="0.2">
      <c r="A6" s="126" t="s">
        <v>414</v>
      </c>
      <c r="B6" s="264">
        <v>66</v>
      </c>
      <c r="C6" s="264">
        <f>B6/4</f>
        <v>16.5</v>
      </c>
      <c r="H6" t="s">
        <v>420</v>
      </c>
      <c r="J6" s="259" t="s">
        <v>426</v>
      </c>
      <c r="K6" t="s">
        <v>421</v>
      </c>
    </row>
    <row r="7" spans="1:11" x14ac:dyDescent="0.2">
      <c r="A7" s="126" t="s">
        <v>9</v>
      </c>
      <c r="B7" s="264">
        <v>94</v>
      </c>
      <c r="C7" s="264">
        <f>B7/4</f>
        <v>23.5</v>
      </c>
      <c r="H7" s="346">
        <f>(A8*H$3)*365</f>
        <v>71122440</v>
      </c>
      <c r="I7" s="146"/>
      <c r="J7" s="350">
        <f>H7/C7</f>
        <v>3026486.8085106383</v>
      </c>
      <c r="K7" s="295">
        <f>1000000/J7</f>
        <v>0.33041611058338266</v>
      </c>
    </row>
    <row r="8" spans="1:11" x14ac:dyDescent="0.2">
      <c r="A8" s="349">
        <v>55200</v>
      </c>
      <c r="B8" s="124" t="s">
        <v>422</v>
      </c>
      <c r="C8" s="124"/>
      <c r="D8" t="s">
        <v>411</v>
      </c>
      <c r="H8" s="146">
        <f>H7</f>
        <v>71122440</v>
      </c>
      <c r="J8" s="350">
        <v>0</v>
      </c>
      <c r="K8" s="295">
        <v>0</v>
      </c>
    </row>
    <row r="9" spans="1:11" x14ac:dyDescent="0.2">
      <c r="H9" s="146">
        <f>H8</f>
        <v>71122440</v>
      </c>
      <c r="J9" s="350">
        <f>H9/C5</f>
        <v>10160348.571428571</v>
      </c>
      <c r="K9" s="295">
        <f>1000000/J9</f>
        <v>9.8421820173773572E-2</v>
      </c>
    </row>
    <row r="10" spans="1:11" x14ac:dyDescent="0.2">
      <c r="H10" s="146">
        <f>H9</f>
        <v>71122440</v>
      </c>
      <c r="J10" s="350">
        <f>H10/C6</f>
        <v>4310450.9090909092</v>
      </c>
      <c r="K10" s="295">
        <f>1000000/J10</f>
        <v>0.23199429040960912</v>
      </c>
    </row>
    <row r="12" spans="1:11" x14ac:dyDescent="0.2">
      <c r="D12" s="317"/>
      <c r="E12" s="234"/>
      <c r="F12" s="234"/>
      <c r="G12" s="234" t="s">
        <v>425</v>
      </c>
      <c r="H12" s="9" t="s">
        <v>427</v>
      </c>
    </row>
    <row r="13" spans="1:11" x14ac:dyDescent="0.2">
      <c r="D13" s="319"/>
      <c r="E13" s="233" t="s">
        <v>180</v>
      </c>
      <c r="F13" s="233" t="s">
        <v>176</v>
      </c>
      <c r="G13" s="233" t="s">
        <v>424</v>
      </c>
      <c r="H13" s="9" t="s">
        <v>428</v>
      </c>
    </row>
    <row r="14" spans="1:11" x14ac:dyDescent="0.2">
      <c r="D14" s="360" t="s">
        <v>472</v>
      </c>
      <c r="E14" s="333"/>
      <c r="F14" s="361"/>
      <c r="G14" s="362"/>
      <c r="H14" s="9"/>
    </row>
    <row r="15" spans="1:11" x14ac:dyDescent="0.2">
      <c r="D15" s="317" t="s">
        <v>466</v>
      </c>
      <c r="E15" s="363">
        <v>47791</v>
      </c>
      <c r="F15" s="363">
        <v>55960</v>
      </c>
      <c r="G15" s="364">
        <f>F15-E15</f>
        <v>8169</v>
      </c>
    </row>
    <row r="16" spans="1:11" x14ac:dyDescent="0.2">
      <c r="D16" s="215" t="s">
        <v>467</v>
      </c>
      <c r="E16" s="365">
        <v>34863</v>
      </c>
      <c r="F16" s="365">
        <v>44928</v>
      </c>
      <c r="G16" s="366">
        <f t="shared" ref="G16:G26" si="0">F16-E16</f>
        <v>10065</v>
      </c>
    </row>
    <row r="17" spans="4:12" x14ac:dyDescent="0.2">
      <c r="D17" s="215" t="s">
        <v>468</v>
      </c>
      <c r="E17" s="365">
        <v>36374</v>
      </c>
      <c r="F17" s="365">
        <v>46609</v>
      </c>
      <c r="G17" s="366">
        <f t="shared" si="0"/>
        <v>10235</v>
      </c>
    </row>
    <row r="18" spans="4:12" x14ac:dyDescent="0.2">
      <c r="D18" s="215" t="s">
        <v>469</v>
      </c>
      <c r="E18" s="365">
        <v>36879</v>
      </c>
      <c r="F18" s="365">
        <v>46937</v>
      </c>
      <c r="G18" s="366">
        <f t="shared" si="0"/>
        <v>10058</v>
      </c>
    </row>
    <row r="19" spans="4:12" x14ac:dyDescent="0.2">
      <c r="D19" s="215" t="s">
        <v>470</v>
      </c>
      <c r="E19" s="365">
        <v>34198</v>
      </c>
      <c r="F19" s="365">
        <v>59635</v>
      </c>
      <c r="G19" s="366">
        <f t="shared" si="0"/>
        <v>25437</v>
      </c>
    </row>
    <row r="20" spans="4:12" x14ac:dyDescent="0.2">
      <c r="D20" s="215" t="s">
        <v>471</v>
      </c>
      <c r="E20" s="365">
        <v>33434</v>
      </c>
      <c r="F20" s="365">
        <v>59304</v>
      </c>
      <c r="G20" s="366">
        <f t="shared" si="0"/>
        <v>25870</v>
      </c>
      <c r="K20" s="9" t="s">
        <v>429</v>
      </c>
    </row>
    <row r="21" spans="4:12" x14ac:dyDescent="0.2">
      <c r="D21" s="215"/>
      <c r="E21" s="367">
        <f>AVERAGE(E15:E20)</f>
        <v>37256.5</v>
      </c>
      <c r="F21" s="367">
        <f>AVERAGE(F15:F20)</f>
        <v>52228.833333333336</v>
      </c>
      <c r="G21" s="368">
        <f t="shared" si="0"/>
        <v>14972.333333333336</v>
      </c>
      <c r="H21" s="346">
        <f>(G21*H$3)*365</f>
        <v>19291102.883333333</v>
      </c>
      <c r="I21" s="295">
        <f>H21/1000000</f>
        <v>19.291102883333334</v>
      </c>
      <c r="J21">
        <f>I21*K9</f>
        <v>1.8986654589371983</v>
      </c>
      <c r="K21">
        <f>J21*0.5</f>
        <v>0.94933272946859915</v>
      </c>
    </row>
    <row r="22" spans="4:12" x14ac:dyDescent="0.2">
      <c r="D22" s="369"/>
      <c r="E22" s="370" t="s">
        <v>431</v>
      </c>
      <c r="F22" s="371"/>
      <c r="G22" s="372">
        <f>G21/F21</f>
        <v>0.28666796437472281</v>
      </c>
      <c r="H22" s="346">
        <f>(G22*H$3)*365</f>
        <v>369.35733869861156</v>
      </c>
      <c r="I22" s="295">
        <f>H22/1000000</f>
        <v>3.6935733869861154E-4</v>
      </c>
      <c r="J22">
        <f>I21*K10</f>
        <v>4.475425724637681</v>
      </c>
      <c r="K22">
        <f>J22*0.5</f>
        <v>2.2377128623188405</v>
      </c>
    </row>
    <row r="23" spans="4:12" x14ac:dyDescent="0.2">
      <c r="D23" s="360" t="s">
        <v>177</v>
      </c>
      <c r="E23" s="333"/>
      <c r="F23" s="361"/>
      <c r="G23" s="362"/>
      <c r="H23" s="346">
        <f>(G23*H$3)*365</f>
        <v>0</v>
      </c>
      <c r="I23" s="295">
        <f>H23/1000000</f>
        <v>0</v>
      </c>
    </row>
    <row r="24" spans="4:12" x14ac:dyDescent="0.2">
      <c r="D24" s="317" t="s">
        <v>466</v>
      </c>
      <c r="E24" s="363">
        <v>6600</v>
      </c>
      <c r="F24" s="363">
        <v>21763</v>
      </c>
      <c r="G24" s="364">
        <f t="shared" si="0"/>
        <v>15163</v>
      </c>
      <c r="H24" s="346"/>
      <c r="I24" s="295"/>
    </row>
    <row r="25" spans="4:12" x14ac:dyDescent="0.2">
      <c r="D25" s="215" t="s">
        <v>467</v>
      </c>
      <c r="E25" s="365">
        <v>8261</v>
      </c>
      <c r="F25" s="365">
        <v>23005</v>
      </c>
      <c r="G25" s="366">
        <f t="shared" si="0"/>
        <v>14744</v>
      </c>
      <c r="H25" s="346"/>
      <c r="I25" s="295"/>
      <c r="K25" s="9" t="s">
        <v>429</v>
      </c>
    </row>
    <row r="26" spans="4:12" x14ac:dyDescent="0.2">
      <c r="D26" s="215"/>
      <c r="E26" s="367">
        <f>AVERAGE(E24:E25)</f>
        <v>7430.5</v>
      </c>
      <c r="F26" s="367">
        <f>AVERAGE(F24:F25)</f>
        <v>22384</v>
      </c>
      <c r="G26" s="368">
        <f t="shared" si="0"/>
        <v>14953.5</v>
      </c>
      <c r="H26" s="346">
        <f>(G26*H$3)*365</f>
        <v>19266837.074999999</v>
      </c>
      <c r="I26" s="295">
        <f>H26/1000000</f>
        <v>19.266837074999998</v>
      </c>
      <c r="J26">
        <f>I26*K9</f>
        <v>1.8962771739130435</v>
      </c>
      <c r="K26">
        <f>J26*0.5</f>
        <v>0.94813858695652176</v>
      </c>
    </row>
    <row r="27" spans="4:12" x14ac:dyDescent="0.2">
      <c r="D27" s="369"/>
      <c r="E27" s="370" t="s">
        <v>432</v>
      </c>
      <c r="F27" s="371"/>
      <c r="G27" s="372">
        <f>G26/F26</f>
        <v>0.66804413867047896</v>
      </c>
      <c r="J27">
        <f>I26*K10</f>
        <v>4.4697961956521732</v>
      </c>
      <c r="K27">
        <f>J27*0.5</f>
        <v>2.2348980978260866</v>
      </c>
    </row>
    <row r="29" spans="4:12" x14ac:dyDescent="0.2">
      <c r="L29" s="9" t="s">
        <v>530</v>
      </c>
    </row>
    <row r="30" spans="4:12" x14ac:dyDescent="0.2">
      <c r="K30">
        <f>K21+K26</f>
        <v>1.8974713164251209</v>
      </c>
      <c r="L30" s="206">
        <f>K30/C5</f>
        <v>0.27106733091787444</v>
      </c>
    </row>
    <row r="31" spans="4:12" x14ac:dyDescent="0.2">
      <c r="K31">
        <f>K22+K27</f>
        <v>4.4726109601449267</v>
      </c>
      <c r="L31" s="206">
        <f>K31/C6</f>
        <v>0.27106733091787433</v>
      </c>
    </row>
  </sheetData>
  <pageMargins left="0.7" right="0.7" top="0.75" bottom="0.75" header="0.3" footer="0.3"/>
  <pageSetup paperSize="0" orientation="portrait" r:id="rId1"/>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16"/>
  <sheetViews>
    <sheetView workbookViewId="0">
      <selection activeCell="F7" sqref="F7"/>
    </sheetView>
  </sheetViews>
  <sheetFormatPr defaultRowHeight="12.75" x14ac:dyDescent="0.2"/>
  <cols>
    <col min="2" max="2" width="23.140625" customWidth="1"/>
    <col min="3" max="3" width="16.42578125" bestFit="1" customWidth="1"/>
    <col min="4" max="4" width="12.28515625" bestFit="1" customWidth="1"/>
    <col min="5" max="5" width="46" customWidth="1"/>
  </cols>
  <sheetData>
    <row r="3" spans="2:6" x14ac:dyDescent="0.2">
      <c r="B3" s="310" t="s">
        <v>386</v>
      </c>
      <c r="C3" s="333" t="s">
        <v>389</v>
      </c>
      <c r="D3" s="333" t="s">
        <v>387</v>
      </c>
      <c r="E3" s="334" t="s">
        <v>388</v>
      </c>
    </row>
    <row r="4" spans="2:6" ht="28.5" customHeight="1" x14ac:dyDescent="0.2">
      <c r="B4" s="317" t="s">
        <v>392</v>
      </c>
      <c r="C4" s="318" t="s">
        <v>390</v>
      </c>
      <c r="D4" s="323">
        <f>Input!B33</f>
        <v>23.9</v>
      </c>
      <c r="E4" s="325" t="str">
        <f>Input!E33</f>
        <v>TIGER BENEFIT-COST ANALYSIS (BCA) RESOURCE GUIDE page 4 of 19</v>
      </c>
      <c r="F4" s="322"/>
    </row>
    <row r="5" spans="2:6" ht="25.5" x14ac:dyDescent="0.2">
      <c r="B5" s="319"/>
      <c r="C5" s="252" t="s">
        <v>391</v>
      </c>
      <c r="D5" s="324">
        <f>Input!B34</f>
        <v>59.61</v>
      </c>
      <c r="E5" s="326" t="str">
        <f>Input!E34</f>
        <v>American Transportation Research Institute (ATRI)  Analysis of the Operational Costs of Trucking 2011</v>
      </c>
      <c r="F5" s="322"/>
    </row>
    <row r="6" spans="2:6" ht="25.5" x14ac:dyDescent="0.2">
      <c r="B6" s="213" t="s">
        <v>393</v>
      </c>
      <c r="C6" s="328" t="s">
        <v>394</v>
      </c>
      <c r="D6" s="323">
        <f>Input!B66</f>
        <v>0.60499999999999998</v>
      </c>
      <c r="E6" s="325" t="str">
        <f>Input!C66</f>
        <v>Based on AAA average cost per mile of vehicle operations data.</v>
      </c>
    </row>
    <row r="7" spans="2:6" ht="25.5" x14ac:dyDescent="0.2">
      <c r="B7" s="319"/>
      <c r="C7" s="252"/>
      <c r="D7" s="324">
        <f>Input!B67</f>
        <v>1.38</v>
      </c>
      <c r="E7" s="326" t="str">
        <f>Input!C67</f>
        <v>http://www.thetruckersreport.com/infographics/cost-of-trucking/</v>
      </c>
    </row>
    <row r="8" spans="2:6" ht="25.5" x14ac:dyDescent="0.2">
      <c r="B8" s="329" t="s">
        <v>395</v>
      </c>
      <c r="C8" s="328" t="s">
        <v>396</v>
      </c>
      <c r="D8" s="338">
        <f>Input!B73</f>
        <v>6200000</v>
      </c>
      <c r="E8" s="325" t="str">
        <f>Input!C73</f>
        <v>DOT Memorandum on Treatment of Economic Value of a Statistical Life in Departmental Analyses - 2009</v>
      </c>
    </row>
    <row r="9" spans="2:6" x14ac:dyDescent="0.2">
      <c r="B9" s="215"/>
      <c r="C9" s="327" t="s">
        <v>397</v>
      </c>
      <c r="D9" s="441">
        <f>Input!B74</f>
        <v>230000</v>
      </c>
      <c r="E9" s="330" t="str">
        <f>Input!C74</f>
        <v>National Safety Council Data</v>
      </c>
    </row>
    <row r="10" spans="2:6" x14ac:dyDescent="0.2">
      <c r="B10" s="319"/>
      <c r="C10" s="331" t="s">
        <v>398</v>
      </c>
      <c r="D10" s="339">
        <f>Input!B75</f>
        <v>8900</v>
      </c>
      <c r="E10" s="332" t="str">
        <f>Input!C75</f>
        <v>National Safety Council Data</v>
      </c>
    </row>
    <row r="11" spans="2:6" ht="31.5" customHeight="1" x14ac:dyDescent="0.2">
      <c r="B11" s="335" t="s">
        <v>399</v>
      </c>
      <c r="C11" s="336" t="s">
        <v>400</v>
      </c>
      <c r="D11" s="324">
        <f>Input!B123</f>
        <v>13</v>
      </c>
      <c r="E11" s="337" t="str">
        <f>Input!C123</f>
        <v>http://www.epa.gov/climatechange/EPAactivities/economics/scc.html</v>
      </c>
    </row>
    <row r="12" spans="2:6" ht="38.25" x14ac:dyDescent="0.2">
      <c r="B12" s="213" t="s">
        <v>401</v>
      </c>
      <c r="C12" s="318"/>
      <c r="D12" s="338" t="e">
        <f>Input!B98</f>
        <v>#REF!</v>
      </c>
      <c r="E12" s="325" t="str">
        <f>Input!C98</f>
        <v>Based on 2014 SC Wage Survey BLS Data for Construction/Maintenance, Suppliers and  Civil Engineering</v>
      </c>
    </row>
    <row r="13" spans="2:6" ht="38.25" x14ac:dyDescent="0.2">
      <c r="B13" s="319"/>
      <c r="C13" s="252"/>
      <c r="D13" s="339" t="e">
        <f>Input!B104</f>
        <v>#REF!</v>
      </c>
      <c r="E13" s="326" t="str">
        <f>Input!C104</f>
        <v>Based on SC Wage Survey Data for Several Industrial/Commercial Wage Categories for Common Industries in Project Area.</v>
      </c>
    </row>
    <row r="14" spans="2:6" ht="25.5" x14ac:dyDescent="0.2">
      <c r="B14" s="340" t="s">
        <v>402</v>
      </c>
      <c r="C14" s="229"/>
      <c r="D14" s="341">
        <f>Input!B105</f>
        <v>0.20800000000000002</v>
      </c>
      <c r="E14" s="337" t="str">
        <f>Input!C105</f>
        <v>Based on IRS Data on Average Federal Percentage (13.8%) Paid plus SC State Tax Rate (7%) Data</v>
      </c>
    </row>
    <row r="15" spans="2:6" ht="25.5" x14ac:dyDescent="0.2">
      <c r="B15" s="342" t="s">
        <v>403</v>
      </c>
      <c r="C15" s="229"/>
      <c r="D15" s="185" t="s">
        <v>404</v>
      </c>
      <c r="E15" s="343" t="s">
        <v>405</v>
      </c>
    </row>
    <row r="16" spans="2:6" x14ac:dyDescent="0.2">
      <c r="B16" s="342" t="s">
        <v>406</v>
      </c>
      <c r="C16" s="229"/>
      <c r="D16" s="344" t="s">
        <v>407</v>
      </c>
      <c r="E16" s="258" t="s">
        <v>408</v>
      </c>
    </row>
  </sheetData>
  <pageMargins left="0.7" right="0.7" top="0.75" bottom="0.75" header="0.3" footer="0.3"/>
  <pageSetup paperSize="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A7" workbookViewId="0">
      <selection activeCell="A7" sqref="A7"/>
    </sheetView>
  </sheetViews>
  <sheetFormatPr defaultRowHeight="12.75" x14ac:dyDescent="0.2"/>
  <cols>
    <col min="1" max="1" width="67.28515625" customWidth="1"/>
    <col min="2" max="2" width="14.5703125" bestFit="1" customWidth="1"/>
    <col min="3" max="3" width="13.42578125" customWidth="1"/>
    <col min="4" max="5" width="10.5703125" customWidth="1"/>
    <col min="6" max="6" width="10.85546875" customWidth="1"/>
    <col min="7" max="7" width="11.42578125" customWidth="1"/>
  </cols>
  <sheetData>
    <row r="1" spans="1:4" ht="96.75" customHeight="1" x14ac:dyDescent="0.2">
      <c r="A1" s="379" t="s">
        <v>474</v>
      </c>
    </row>
    <row r="2" spans="1:4" ht="15" x14ac:dyDescent="0.2">
      <c r="A2" s="196"/>
    </row>
    <row r="3" spans="1:4" ht="62.25" customHeight="1" x14ac:dyDescent="0.2">
      <c r="A3" s="379" t="s">
        <v>475</v>
      </c>
    </row>
    <row r="4" spans="1:4" ht="90.75" customHeight="1" x14ac:dyDescent="0.2">
      <c r="A4" s="379" t="s">
        <v>476</v>
      </c>
    </row>
    <row r="5" spans="1:4" ht="134.25" customHeight="1" x14ac:dyDescent="0.2">
      <c r="A5" s="379" t="s">
        <v>477</v>
      </c>
    </row>
    <row r="6" spans="1:4" ht="64.5" customHeight="1" x14ac:dyDescent="0.2">
      <c r="A6" s="379" t="s">
        <v>484</v>
      </c>
    </row>
    <row r="7" spans="1:4" ht="84.75" customHeight="1" x14ac:dyDescent="0.2">
      <c r="A7" s="379" t="s">
        <v>535</v>
      </c>
    </row>
    <row r="8" spans="1:4" ht="119.25" customHeight="1" x14ac:dyDescent="0.2">
      <c r="A8" s="379" t="s">
        <v>536</v>
      </c>
    </row>
    <row r="9" spans="1:4" ht="84.75" customHeight="1" x14ac:dyDescent="0.2">
      <c r="A9" s="379" t="s">
        <v>537</v>
      </c>
    </row>
    <row r="10" spans="1:4" ht="15" x14ac:dyDescent="0.2">
      <c r="A10" s="375"/>
    </row>
    <row r="11" spans="1:4" ht="15" x14ac:dyDescent="0.2">
      <c r="A11" s="375" t="s">
        <v>478</v>
      </c>
    </row>
    <row r="12" spans="1:4" ht="15" x14ac:dyDescent="0.2">
      <c r="A12" s="375" t="s">
        <v>479</v>
      </c>
      <c r="B12" t="s">
        <v>480</v>
      </c>
      <c r="C12" s="353">
        <v>1800542</v>
      </c>
    </row>
    <row r="13" spans="1:4" ht="15" x14ac:dyDescent="0.2">
      <c r="A13" s="375" t="s">
        <v>481</v>
      </c>
      <c r="B13" t="s">
        <v>480</v>
      </c>
      <c r="C13" s="353">
        <v>5789089</v>
      </c>
      <c r="D13" s="376" t="s">
        <v>485</v>
      </c>
    </row>
    <row r="14" spans="1:4" ht="15" x14ac:dyDescent="0.2">
      <c r="A14" s="375" t="s">
        <v>482</v>
      </c>
      <c r="B14" t="s">
        <v>480</v>
      </c>
      <c r="C14" s="353">
        <v>1318052</v>
      </c>
    </row>
    <row r="15" spans="1:4" ht="15" x14ac:dyDescent="0.2">
      <c r="A15" s="375" t="s">
        <v>483</v>
      </c>
      <c r="B15" t="s">
        <v>480</v>
      </c>
      <c r="C15" s="353">
        <v>8907683</v>
      </c>
    </row>
    <row r="21" spans="1:7" s="191" customFormat="1" ht="15" x14ac:dyDescent="0.2">
      <c r="B21" s="377" t="s">
        <v>479</v>
      </c>
      <c r="C21" s="378" t="s">
        <v>481</v>
      </c>
      <c r="D21" s="378" t="s">
        <v>482</v>
      </c>
      <c r="E21" s="191" t="s">
        <v>534</v>
      </c>
    </row>
    <row r="22" spans="1:7" x14ac:dyDescent="0.2">
      <c r="A22">
        <v>2020</v>
      </c>
      <c r="B22" s="353">
        <v>99587</v>
      </c>
      <c r="C22" s="353">
        <f t="shared" ref="C22:D34" si="0">C23-(C23/15)</f>
        <v>2056657.036163219</v>
      </c>
      <c r="D22" s="353">
        <f t="shared" si="0"/>
        <v>468256.90878633986</v>
      </c>
      <c r="E22" s="380">
        <f>SUM(A22:D22)</f>
        <v>2626520.9449495589</v>
      </c>
      <c r="G22" s="353"/>
    </row>
    <row r="23" spans="1:7" x14ac:dyDescent="0.2">
      <c r="A23">
        <v>2021</v>
      </c>
      <c r="B23" s="353">
        <f>B24-G$27</f>
        <v>226262.39999999994</v>
      </c>
      <c r="C23" s="353">
        <f t="shared" si="0"/>
        <v>2203561.1101748776</v>
      </c>
      <c r="D23" s="353">
        <f t="shared" si="0"/>
        <v>501703.83084250701</v>
      </c>
      <c r="E23" s="380">
        <f t="shared" ref="E23:E42" si="1">SUM(A23:D23)</f>
        <v>2933548.3410173845</v>
      </c>
      <c r="F23" s="353">
        <f>E23-E22</f>
        <v>307027.39606782561</v>
      </c>
    </row>
    <row r="24" spans="1:7" x14ac:dyDescent="0.2">
      <c r="A24">
        <v>2022</v>
      </c>
      <c r="B24" s="353">
        <f>B25-G$27</f>
        <v>352937.79999999993</v>
      </c>
      <c r="C24" s="353">
        <f t="shared" si="0"/>
        <v>2360958.332330226</v>
      </c>
      <c r="D24" s="353">
        <f t="shared" si="0"/>
        <v>537539.81875982892</v>
      </c>
      <c r="E24" s="380">
        <f t="shared" si="1"/>
        <v>3253457.9510900546</v>
      </c>
      <c r="F24" s="353">
        <f t="shared" ref="F24:F41" si="2">E24-E23</f>
        <v>319909.61007267004</v>
      </c>
    </row>
    <row r="25" spans="1:7" x14ac:dyDescent="0.2">
      <c r="A25">
        <v>2023</v>
      </c>
      <c r="B25" s="353">
        <f>B26-G$27</f>
        <v>479613.19999999995</v>
      </c>
      <c r="C25" s="353">
        <f t="shared" si="0"/>
        <v>2529598.2132109562</v>
      </c>
      <c r="D25" s="353">
        <f t="shared" si="0"/>
        <v>575935.52009981673</v>
      </c>
      <c r="E25" s="380">
        <f t="shared" si="1"/>
        <v>3587169.9333107732</v>
      </c>
      <c r="F25" s="353">
        <f t="shared" si="2"/>
        <v>333711.98222071864</v>
      </c>
    </row>
    <row r="26" spans="1:7" x14ac:dyDescent="0.2">
      <c r="A26">
        <v>2024</v>
      </c>
      <c r="B26" s="353">
        <f>B27-G$27</f>
        <v>606288.6</v>
      </c>
      <c r="C26" s="353">
        <f t="shared" si="0"/>
        <v>2710283.7998688817</v>
      </c>
      <c r="D26" s="353">
        <f t="shared" si="0"/>
        <v>617073.77153551788</v>
      </c>
      <c r="E26" s="380">
        <f t="shared" si="1"/>
        <v>3935670.1714043999</v>
      </c>
      <c r="F26" s="353">
        <f t="shared" si="2"/>
        <v>348500.23809362669</v>
      </c>
    </row>
    <row r="27" spans="1:7" x14ac:dyDescent="0.2">
      <c r="A27">
        <v>2025</v>
      </c>
      <c r="B27" s="353">
        <v>732964</v>
      </c>
      <c r="C27" s="353">
        <f t="shared" si="0"/>
        <v>2903875.499859516</v>
      </c>
      <c r="D27" s="353">
        <f t="shared" si="0"/>
        <v>661150.46950234054</v>
      </c>
      <c r="E27" s="380">
        <f t="shared" si="1"/>
        <v>4300014.9693618566</v>
      </c>
      <c r="F27" s="353">
        <f t="shared" si="2"/>
        <v>364344.79795745667</v>
      </c>
      <c r="G27" s="353">
        <f>(B27-B22)/5</f>
        <v>126675.4</v>
      </c>
    </row>
    <row r="28" spans="1:7" x14ac:dyDescent="0.2">
      <c r="A28">
        <v>2026</v>
      </c>
      <c r="B28" s="353">
        <f t="shared" ref="B28:B35" si="3">B29-G$37</f>
        <v>839721.79999999958</v>
      </c>
      <c r="C28" s="353">
        <f t="shared" si="0"/>
        <v>3111295.1784209101</v>
      </c>
      <c r="D28" s="353">
        <f t="shared" si="0"/>
        <v>708375.50303822197</v>
      </c>
      <c r="E28" s="380">
        <f t="shared" si="1"/>
        <v>4661418.4814591315</v>
      </c>
      <c r="F28" s="353">
        <f t="shared" si="2"/>
        <v>361403.51209727488</v>
      </c>
    </row>
    <row r="29" spans="1:7" x14ac:dyDescent="0.2">
      <c r="A29">
        <v>2027</v>
      </c>
      <c r="B29" s="353">
        <f t="shared" si="3"/>
        <v>946479.59999999963</v>
      </c>
      <c r="C29" s="353">
        <f t="shared" si="0"/>
        <v>3333530.5483081182</v>
      </c>
      <c r="D29" s="353">
        <f t="shared" si="0"/>
        <v>758973.75325523783</v>
      </c>
      <c r="E29" s="380">
        <f t="shared" si="1"/>
        <v>5041010.9015633557</v>
      </c>
      <c r="F29" s="353">
        <f t="shared" si="2"/>
        <v>379592.42010422423</v>
      </c>
    </row>
    <row r="30" spans="1:7" x14ac:dyDescent="0.2">
      <c r="A30">
        <v>2028</v>
      </c>
      <c r="B30" s="353">
        <f t="shared" si="3"/>
        <v>1053237.3999999997</v>
      </c>
      <c r="C30" s="353">
        <f t="shared" si="0"/>
        <v>3571639.8731872695</v>
      </c>
      <c r="D30" s="353">
        <f t="shared" si="0"/>
        <v>813186.16420204053</v>
      </c>
      <c r="E30" s="380">
        <f t="shared" si="1"/>
        <v>5440091.4373893104</v>
      </c>
      <c r="F30" s="353">
        <f t="shared" si="2"/>
        <v>399080.53582595475</v>
      </c>
    </row>
    <row r="31" spans="1:7" x14ac:dyDescent="0.2">
      <c r="A31">
        <v>2029</v>
      </c>
      <c r="B31" s="353">
        <f t="shared" si="3"/>
        <v>1159995.1999999997</v>
      </c>
      <c r="C31" s="353">
        <f t="shared" si="0"/>
        <v>3826757.0069863601</v>
      </c>
      <c r="D31" s="353">
        <f t="shared" si="0"/>
        <v>871270.89021647198</v>
      </c>
      <c r="E31" s="380">
        <f t="shared" si="1"/>
        <v>5860052.0972028319</v>
      </c>
      <c r="F31" s="353">
        <f t="shared" si="2"/>
        <v>419960.65981352143</v>
      </c>
    </row>
    <row r="32" spans="1:7" x14ac:dyDescent="0.2">
      <c r="A32">
        <v>2030</v>
      </c>
      <c r="B32" s="353">
        <f t="shared" si="3"/>
        <v>1266752.9999999998</v>
      </c>
      <c r="C32" s="353">
        <f t="shared" si="0"/>
        <v>4100096.7931996714</v>
      </c>
      <c r="D32" s="353">
        <f t="shared" si="0"/>
        <v>933504.52523193427</v>
      </c>
      <c r="E32" s="380">
        <f t="shared" si="1"/>
        <v>6302384.3184316056</v>
      </c>
      <c r="F32" s="353">
        <f t="shared" si="2"/>
        <v>442332.22122877371</v>
      </c>
    </row>
    <row r="33" spans="1:7" x14ac:dyDescent="0.2">
      <c r="A33">
        <v>2031</v>
      </c>
      <c r="B33" s="353">
        <f t="shared" si="3"/>
        <v>1373510.7999999998</v>
      </c>
      <c r="C33" s="353">
        <f t="shared" si="0"/>
        <v>4392960.8498567911</v>
      </c>
      <c r="D33" s="353">
        <f t="shared" si="0"/>
        <v>1000183.4198913581</v>
      </c>
      <c r="E33" s="380">
        <f t="shared" si="1"/>
        <v>6768686.0697481493</v>
      </c>
      <c r="F33" s="353">
        <f t="shared" si="2"/>
        <v>466301.75131654367</v>
      </c>
    </row>
    <row r="34" spans="1:7" x14ac:dyDescent="0.2">
      <c r="A34">
        <v>2032</v>
      </c>
      <c r="B34" s="353">
        <f t="shared" si="3"/>
        <v>1480268.5999999999</v>
      </c>
      <c r="C34" s="353">
        <f t="shared" si="0"/>
        <v>4706743.7677037045</v>
      </c>
      <c r="D34" s="353">
        <f t="shared" si="0"/>
        <v>1071625.0927407409</v>
      </c>
      <c r="E34" s="380">
        <f t="shared" si="1"/>
        <v>7260669.4604444448</v>
      </c>
      <c r="F34" s="353">
        <f t="shared" si="2"/>
        <v>491983.39069629554</v>
      </c>
    </row>
    <row r="35" spans="1:7" x14ac:dyDescent="0.2">
      <c r="A35">
        <v>2033</v>
      </c>
      <c r="B35" s="353">
        <f t="shared" si="3"/>
        <v>1587026.4</v>
      </c>
      <c r="C35" s="353">
        <f>C36-(C36/15)</f>
        <v>5042939.7511111116</v>
      </c>
      <c r="D35" s="353">
        <f>D36-(D36/15)</f>
        <v>1148169.7422222223</v>
      </c>
      <c r="E35" s="380">
        <f t="shared" si="1"/>
        <v>7780168.8933333335</v>
      </c>
      <c r="F35" s="353">
        <f t="shared" si="2"/>
        <v>519499.43288888875</v>
      </c>
    </row>
    <row r="36" spans="1:7" x14ac:dyDescent="0.2">
      <c r="A36">
        <v>2034</v>
      </c>
      <c r="B36" s="353">
        <f>B37-G$37</f>
        <v>1693784.2</v>
      </c>
      <c r="C36" s="353">
        <f>C42-(C37/15)</f>
        <v>5403149.7333333334</v>
      </c>
      <c r="D36" s="353">
        <f>D42-(D37/15)</f>
        <v>1230181.8666666667</v>
      </c>
      <c r="E36" s="380">
        <f t="shared" si="1"/>
        <v>8329149.8000000007</v>
      </c>
      <c r="F36" s="353">
        <f t="shared" si="2"/>
        <v>548980.9066666672</v>
      </c>
    </row>
    <row r="37" spans="1:7" x14ac:dyDescent="0.2">
      <c r="A37">
        <v>2035</v>
      </c>
      <c r="B37" s="353">
        <f>C12</f>
        <v>1800542</v>
      </c>
      <c r="C37" s="353">
        <v>5789089</v>
      </c>
      <c r="D37" s="353">
        <v>1318052</v>
      </c>
      <c r="E37" s="380">
        <f t="shared" si="1"/>
        <v>8909718</v>
      </c>
      <c r="F37" s="353">
        <f t="shared" si="2"/>
        <v>580568.19999999925</v>
      </c>
      <c r="G37" s="353">
        <f>(B37-B27)/10</f>
        <v>106757.8</v>
      </c>
    </row>
    <row r="38" spans="1:7" x14ac:dyDescent="0.2">
      <c r="A38">
        <v>2036</v>
      </c>
      <c r="B38" s="353">
        <f t="shared" ref="B38:D42" si="4">B37</f>
        <v>1800542</v>
      </c>
      <c r="C38" s="353">
        <f t="shared" si="4"/>
        <v>5789089</v>
      </c>
      <c r="D38" s="353">
        <f t="shared" si="4"/>
        <v>1318052</v>
      </c>
      <c r="E38" s="380">
        <f t="shared" si="1"/>
        <v>8909719</v>
      </c>
      <c r="F38" s="353">
        <f t="shared" si="2"/>
        <v>1</v>
      </c>
    </row>
    <row r="39" spans="1:7" x14ac:dyDescent="0.2">
      <c r="A39">
        <v>2037</v>
      </c>
      <c r="B39" s="353">
        <f t="shared" si="4"/>
        <v>1800542</v>
      </c>
      <c r="C39" s="353">
        <f t="shared" si="4"/>
        <v>5789089</v>
      </c>
      <c r="D39" s="353">
        <f t="shared" si="4"/>
        <v>1318052</v>
      </c>
      <c r="E39" s="380">
        <f t="shared" si="1"/>
        <v>8909720</v>
      </c>
      <c r="F39" s="353">
        <f t="shared" si="2"/>
        <v>1</v>
      </c>
    </row>
    <row r="40" spans="1:7" x14ac:dyDescent="0.2">
      <c r="A40">
        <v>2038</v>
      </c>
      <c r="B40" s="353">
        <f t="shared" si="4"/>
        <v>1800542</v>
      </c>
      <c r="C40" s="353">
        <f t="shared" si="4"/>
        <v>5789089</v>
      </c>
      <c r="D40" s="353">
        <f t="shared" si="4"/>
        <v>1318052</v>
      </c>
      <c r="E40" s="380">
        <f t="shared" si="1"/>
        <v>8909721</v>
      </c>
      <c r="F40" s="353">
        <f t="shared" si="2"/>
        <v>1</v>
      </c>
    </row>
    <row r="41" spans="1:7" x14ac:dyDescent="0.2">
      <c r="A41">
        <v>2039</v>
      </c>
      <c r="B41" s="353">
        <f t="shared" si="4"/>
        <v>1800542</v>
      </c>
      <c r="C41" s="353">
        <f t="shared" si="4"/>
        <v>5789089</v>
      </c>
      <c r="D41" s="353">
        <f t="shared" si="4"/>
        <v>1318052</v>
      </c>
      <c r="E41" s="380">
        <f t="shared" si="1"/>
        <v>8909722</v>
      </c>
      <c r="F41" s="353">
        <f t="shared" si="2"/>
        <v>1</v>
      </c>
    </row>
    <row r="42" spans="1:7" x14ac:dyDescent="0.2">
      <c r="A42">
        <v>2040</v>
      </c>
      <c r="B42" s="353">
        <f t="shared" si="4"/>
        <v>1800542</v>
      </c>
      <c r="C42" s="353">
        <f t="shared" si="4"/>
        <v>5789089</v>
      </c>
      <c r="D42" s="353">
        <f t="shared" si="4"/>
        <v>1318052</v>
      </c>
      <c r="E42" s="380">
        <f t="shared" si="1"/>
        <v>8909723</v>
      </c>
      <c r="F42" s="353">
        <f>E42-E41</f>
        <v>1</v>
      </c>
    </row>
    <row r="44" spans="1:7" x14ac:dyDescent="0.2">
      <c r="F44" s="353">
        <f>AVERAGE(F23:F42)</f>
        <v>314160.10275252204</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6"/>
  <sheetViews>
    <sheetView workbookViewId="0">
      <selection activeCell="C18" sqref="C18"/>
    </sheetView>
  </sheetViews>
  <sheetFormatPr defaultRowHeight="12.75" x14ac:dyDescent="0.2"/>
  <sheetData>
    <row r="2" spans="1:5" x14ac:dyDescent="0.2">
      <c r="A2" s="9" t="s">
        <v>491</v>
      </c>
      <c r="B2" s="9"/>
      <c r="C2" s="9" t="s">
        <v>435</v>
      </c>
      <c r="D2" s="9"/>
    </row>
    <row r="3" spans="1:5" ht="15" x14ac:dyDescent="0.2">
      <c r="A3">
        <v>10</v>
      </c>
      <c r="E3" s="374" t="s">
        <v>486</v>
      </c>
    </row>
    <row r="4" spans="1:5" ht="15" x14ac:dyDescent="0.2">
      <c r="A4">
        <v>30</v>
      </c>
      <c r="B4">
        <v>15</v>
      </c>
      <c r="C4">
        <v>223</v>
      </c>
      <c r="D4">
        <f>C4*A4</f>
        <v>6690</v>
      </c>
      <c r="E4" s="374" t="s">
        <v>487</v>
      </c>
    </row>
    <row r="5" spans="1:5" ht="15" x14ac:dyDescent="0.2">
      <c r="A5">
        <v>30</v>
      </c>
      <c r="D5">
        <f>C5*A5</f>
        <v>0</v>
      </c>
      <c r="E5" s="374" t="s">
        <v>488</v>
      </c>
    </row>
    <row r="6" spans="1:5" ht="15" x14ac:dyDescent="0.2">
      <c r="A6">
        <v>35</v>
      </c>
      <c r="B6">
        <v>17</v>
      </c>
      <c r="C6">
        <v>25.5</v>
      </c>
      <c r="D6">
        <f>C6*A6</f>
        <v>892.5</v>
      </c>
      <c r="E6" s="374" t="s">
        <v>489</v>
      </c>
    </row>
    <row r="7" spans="1:5" ht="15" x14ac:dyDescent="0.2">
      <c r="A7">
        <v>50</v>
      </c>
      <c r="D7">
        <f>C7*A7</f>
        <v>0</v>
      </c>
      <c r="E7" s="374" t="s">
        <v>490</v>
      </c>
    </row>
    <row r="8" spans="1:5" x14ac:dyDescent="0.2">
      <c r="C8">
        <f>SUM(C3:C7)</f>
        <v>248.5</v>
      </c>
      <c r="D8">
        <f>SUM(D4:D7)</f>
        <v>7582.5</v>
      </c>
    </row>
    <row r="12" spans="1:5" x14ac:dyDescent="0.2">
      <c r="E12" s="9" t="s">
        <v>492</v>
      </c>
    </row>
    <row r="13" spans="1:5" x14ac:dyDescent="0.2">
      <c r="E13">
        <v>2000</v>
      </c>
    </row>
    <row r="14" spans="1:5" x14ac:dyDescent="0.2">
      <c r="A14" s="9" t="s">
        <v>493</v>
      </c>
      <c r="B14" s="9"/>
      <c r="C14" s="9"/>
      <c r="D14" s="9"/>
      <c r="E14" s="123">
        <v>0.75</v>
      </c>
    </row>
    <row r="15" spans="1:5" x14ac:dyDescent="0.2">
      <c r="E15">
        <f>E13*E14</f>
        <v>1500</v>
      </c>
    </row>
    <row r="17" spans="1:3" x14ac:dyDescent="0.2">
      <c r="A17" s="9" t="s">
        <v>479</v>
      </c>
      <c r="B17" s="9"/>
      <c r="C17">
        <v>815</v>
      </c>
    </row>
    <row r="18" spans="1:3" x14ac:dyDescent="0.2">
      <c r="C18">
        <f>SUM(C8:C17)</f>
        <v>1063.5</v>
      </c>
    </row>
    <row r="21" spans="1:3" ht="15" x14ac:dyDescent="0.2">
      <c r="A21" s="200" t="s">
        <v>494</v>
      </c>
    </row>
    <row r="22" spans="1:3" ht="15" x14ac:dyDescent="0.2">
      <c r="A22" s="200"/>
    </row>
    <row r="23" spans="1:3" ht="15" x14ac:dyDescent="0.2">
      <c r="A23" s="200" t="s">
        <v>495</v>
      </c>
    </row>
    <row r="24" spans="1:3" ht="15" x14ac:dyDescent="0.2">
      <c r="A24" s="200" t="s">
        <v>496</v>
      </c>
    </row>
    <row r="25" spans="1:3" ht="15" x14ac:dyDescent="0.2">
      <c r="A25" s="200"/>
    </row>
    <row r="26" spans="1:3" ht="15" x14ac:dyDescent="0.2">
      <c r="A26" s="200" t="s">
        <v>497</v>
      </c>
    </row>
  </sheetData>
  <pageMargins left="0.7" right="0.7" top="0.75" bottom="0.75" header="0.3" footer="0.3"/>
  <pageSetup paperSize="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
  <sheetViews>
    <sheetView workbookViewId="0">
      <selection activeCell="C23" sqref="C23"/>
    </sheetView>
  </sheetViews>
  <sheetFormatPr defaultRowHeight="12.75" x14ac:dyDescent="0.2"/>
  <cols>
    <col min="2" max="2" width="27.140625" customWidth="1"/>
    <col min="3" max="3" width="17" bestFit="1" customWidth="1"/>
    <col min="4" max="5" width="18" bestFit="1" customWidth="1"/>
    <col min="7" max="7" width="10.7109375" bestFit="1" customWidth="1"/>
  </cols>
  <sheetData>
    <row r="1" spans="2:5" ht="13.5" thickBot="1" x14ac:dyDescent="0.25"/>
    <row r="2" spans="2:5" x14ac:dyDescent="0.2">
      <c r="B2" s="408" t="s">
        <v>518</v>
      </c>
      <c r="C2" s="409" t="s">
        <v>521</v>
      </c>
      <c r="D2" s="409" t="s">
        <v>522</v>
      </c>
      <c r="E2" s="411" t="s">
        <v>521</v>
      </c>
    </row>
    <row r="3" spans="2:5" x14ac:dyDescent="0.2">
      <c r="B3" s="410"/>
      <c r="C3" s="311"/>
      <c r="D3" s="311" t="s">
        <v>523</v>
      </c>
      <c r="E3" s="412" t="s">
        <v>523</v>
      </c>
    </row>
    <row r="4" spans="2:5" x14ac:dyDescent="0.2">
      <c r="B4" s="398"/>
      <c r="C4" s="232" t="s">
        <v>516</v>
      </c>
      <c r="D4" s="232" t="s">
        <v>511</v>
      </c>
      <c r="E4" s="413" t="s">
        <v>512</v>
      </c>
    </row>
    <row r="5" spans="2:5" x14ac:dyDescent="0.2">
      <c r="B5" s="399"/>
      <c r="C5" s="320"/>
      <c r="D5" s="414" t="s">
        <v>524</v>
      </c>
      <c r="E5" s="400" t="s">
        <v>524</v>
      </c>
    </row>
    <row r="6" spans="2:5" x14ac:dyDescent="0.2">
      <c r="B6" s="399" t="s">
        <v>498</v>
      </c>
      <c r="C6" s="320"/>
      <c r="D6" s="233"/>
      <c r="E6" s="400"/>
    </row>
    <row r="7" spans="2:5" x14ac:dyDescent="0.2">
      <c r="B7" s="415" t="s">
        <v>499</v>
      </c>
      <c r="C7" s="403">
        <f>'BCA 3%'!F33</f>
        <v>107607000.31195539</v>
      </c>
      <c r="D7" s="403">
        <f>'BCA 3%'!$F$35</f>
        <v>70339792.399058118</v>
      </c>
      <c r="E7" s="498">
        <f>'BCA 7%'!$F$41</f>
        <v>42602630.113449529</v>
      </c>
    </row>
    <row r="8" spans="2:5" ht="25.5" x14ac:dyDescent="0.2">
      <c r="B8" s="415" t="s">
        <v>500</v>
      </c>
      <c r="C8" s="497">
        <f>'BCA 3%'!G33</f>
        <v>-11350.95167698797</v>
      </c>
      <c r="D8" s="497">
        <f>'BCA 3%'!$G$35</f>
        <v>-7420.0176129090669</v>
      </c>
      <c r="E8" s="499">
        <f>'BCA 7%'!$G$41</f>
        <v>-4494.2383111660101</v>
      </c>
    </row>
    <row r="9" spans="2:5" x14ac:dyDescent="0.2">
      <c r="B9" s="415" t="s">
        <v>501</v>
      </c>
      <c r="C9" s="497">
        <f>'BCA 3%'!H33</f>
        <v>13510529.46362458</v>
      </c>
      <c r="D9" s="497">
        <f>'BCA 3%'!$H$35</f>
        <v>8799768.9890378583</v>
      </c>
      <c r="E9" s="499">
        <f>'BCA 7%'!$H$41</f>
        <v>5307609.3496612459</v>
      </c>
    </row>
    <row r="10" spans="2:5" ht="25.5" x14ac:dyDescent="0.2">
      <c r="B10" s="415" t="s">
        <v>502</v>
      </c>
      <c r="C10" s="497" t="e">
        <f>'BCA 3%'!I33</f>
        <v>#REF!</v>
      </c>
      <c r="D10" s="497" t="e">
        <f>'BCA 3%'!$I$35</f>
        <v>#REF!</v>
      </c>
      <c r="E10" s="499" t="e">
        <f>'BCA 7%'!#REF!</f>
        <v>#REF!</v>
      </c>
    </row>
    <row r="11" spans="2:5" x14ac:dyDescent="0.2">
      <c r="B11" s="415" t="s">
        <v>503</v>
      </c>
      <c r="C11" s="497">
        <f>'BCA 3%'!J33</f>
        <v>131538336.77070619</v>
      </c>
      <c r="D11" s="497">
        <f>'BCA 3%'!$J$35</f>
        <v>82810663.716855362</v>
      </c>
      <c r="E11" s="499" t="e">
        <f>'BCA 7%'!#REF!</f>
        <v>#REF!</v>
      </c>
    </row>
    <row r="12" spans="2:5" x14ac:dyDescent="0.2">
      <c r="B12" s="415" t="s">
        <v>504</v>
      </c>
      <c r="C12" s="497">
        <f>'BCA 3%'!K33</f>
        <v>-443.79180722921313</v>
      </c>
      <c r="D12" s="497">
        <f>'BCA 3%'!$K$35</f>
        <v>-290.71134755468279</v>
      </c>
      <c r="E12" s="499">
        <f>'BCA 7%'!$I$41</f>
        <v>-176.66507755929914</v>
      </c>
    </row>
    <row r="13" spans="2:5" ht="25.5" x14ac:dyDescent="0.2">
      <c r="B13" s="415" t="s">
        <v>505</v>
      </c>
      <c r="C13" s="403">
        <f>'BCA 3%'!L33</f>
        <v>28967000</v>
      </c>
      <c r="D13" s="403">
        <f>'BCA 3%'!$L$35</f>
        <v>14249844.540546551</v>
      </c>
      <c r="E13" s="498">
        <f>'BCA 7%'!$J$41</f>
        <v>5710746.1400567759</v>
      </c>
    </row>
    <row r="14" spans="2:5" x14ac:dyDescent="0.2">
      <c r="B14" s="415" t="s">
        <v>506</v>
      </c>
      <c r="C14" s="404" t="e">
        <f>SUM(C7:C13)</f>
        <v>#REF!</v>
      </c>
      <c r="D14" s="404" t="e">
        <f>SUM(D7:D13)</f>
        <v>#REF!</v>
      </c>
      <c r="E14" s="500" t="e">
        <f>SUM(E7:E13)</f>
        <v>#REF!</v>
      </c>
    </row>
    <row r="15" spans="2:5" x14ac:dyDescent="0.2">
      <c r="B15" s="417" t="s">
        <v>507</v>
      </c>
      <c r="C15" s="403"/>
      <c r="D15" s="403"/>
      <c r="E15" s="498"/>
    </row>
    <row r="16" spans="2:5" ht="25.5" x14ac:dyDescent="0.2">
      <c r="B16" s="422" t="s">
        <v>519</v>
      </c>
      <c r="C16" s="231"/>
      <c r="D16" s="231"/>
      <c r="E16" s="423"/>
    </row>
    <row r="17" spans="2:7" ht="25.5" x14ac:dyDescent="0.2">
      <c r="B17" s="424" t="s">
        <v>520</v>
      </c>
      <c r="C17" s="421">
        <f>'BCA 3%'!B33</f>
        <v>65112000</v>
      </c>
      <c r="D17" s="421">
        <f>'BCA 3%'!$B$35</f>
        <v>61510111.235357508</v>
      </c>
      <c r="E17" s="425">
        <f>'BCA 7%'!$B$41</f>
        <v>57239280.51183223</v>
      </c>
    </row>
    <row r="18" spans="2:7" x14ac:dyDescent="0.2">
      <c r="B18" s="418" t="s">
        <v>508</v>
      </c>
      <c r="C18" s="419">
        <f>'BCA 3%'!C33</f>
        <v>3482976</v>
      </c>
      <c r="D18" s="396">
        <f>'BCA 3%'!$C$35</f>
        <v>2339719.1093117325</v>
      </c>
      <c r="E18" s="401">
        <f>'BCA 7%'!$C$41</f>
        <v>1466999.2981625923</v>
      </c>
    </row>
    <row r="19" spans="2:7" x14ac:dyDescent="0.2">
      <c r="B19" s="415" t="s">
        <v>509</v>
      </c>
      <c r="C19" s="404">
        <f>'BCA 3%'!D33</f>
        <v>68594976</v>
      </c>
      <c r="D19" s="397">
        <f>SUM(D17:D18)</f>
        <v>63849830.344669238</v>
      </c>
      <c r="E19" s="402">
        <f>SUM(E17:E18)</f>
        <v>58706279.809994824</v>
      </c>
      <c r="G19" s="353"/>
    </row>
    <row r="20" spans="2:7" x14ac:dyDescent="0.2">
      <c r="B20" s="415" t="s">
        <v>510</v>
      </c>
      <c r="C20" s="230"/>
      <c r="D20" s="397" t="e">
        <f>'BCA 3%'!P37</f>
        <v>#REF!</v>
      </c>
      <c r="E20" s="402">
        <f>'BCA 7%'!N43</f>
        <v>-5089965.1102159359</v>
      </c>
    </row>
    <row r="21" spans="2:7" ht="13.5" thickBot="1" x14ac:dyDescent="0.25">
      <c r="B21" s="416" t="s">
        <v>515</v>
      </c>
      <c r="C21" s="407" t="s">
        <v>517</v>
      </c>
      <c r="D21" s="405" t="e">
        <f>'BCA 3%'!P38</f>
        <v>#REF!</v>
      </c>
      <c r="E21" s="406">
        <f>'BCA 7%'!N44</f>
        <v>0.9132977745023223</v>
      </c>
    </row>
  </sheetData>
  <pageMargins left="0.7" right="0.7" top="0.75" bottom="0.75" header="0.3" footer="0.3"/>
  <pageSetup paperSize="0"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G36" sqref="G36"/>
    </sheetView>
  </sheetViews>
  <sheetFormatPr defaultRowHeight="12.75" x14ac:dyDescent="0.2"/>
  <cols>
    <col min="1" max="1" width="12" customWidth="1"/>
    <col min="2" max="2" width="26.5703125" bestFit="1" customWidth="1"/>
    <col min="3" max="3" width="15.42578125" bestFit="1" customWidth="1"/>
    <col min="4" max="4" width="6.5703125" bestFit="1" customWidth="1"/>
    <col min="5" max="5" width="4.7109375" bestFit="1" customWidth="1"/>
    <col min="6" max="6" width="7.42578125" bestFit="1" customWidth="1"/>
    <col min="7" max="7" width="7.28515625" customWidth="1"/>
    <col min="8" max="8" width="10.42578125" customWidth="1"/>
    <col min="9" max="9" width="6.5703125" bestFit="1" customWidth="1"/>
    <col min="10" max="10" width="4.7109375" bestFit="1" customWidth="1"/>
    <col min="11" max="11" width="11.5703125" bestFit="1" customWidth="1"/>
  </cols>
  <sheetData>
    <row r="1" spans="1:13" ht="13.5" thickBot="1" x14ac:dyDescent="0.25"/>
    <row r="2" spans="1:13" x14ac:dyDescent="0.2">
      <c r="D2" s="158">
        <v>2004</v>
      </c>
      <c r="E2" s="163" t="s">
        <v>121</v>
      </c>
      <c r="F2" s="158">
        <v>2025</v>
      </c>
      <c r="G2" s="163" t="s">
        <v>121</v>
      </c>
      <c r="H2" s="183"/>
      <c r="I2" s="158">
        <f>F2</f>
        <v>2025</v>
      </c>
      <c r="J2" s="163" t="s">
        <v>121</v>
      </c>
    </row>
    <row r="3" spans="1:13" x14ac:dyDescent="0.2">
      <c r="C3" s="9" t="s">
        <v>134</v>
      </c>
      <c r="D3" s="160"/>
      <c r="E3" s="164"/>
      <c r="F3" s="160" t="s">
        <v>98</v>
      </c>
      <c r="G3" s="164"/>
      <c r="H3" s="184"/>
      <c r="I3" s="160" t="s">
        <v>97</v>
      </c>
      <c r="J3" s="164"/>
      <c r="L3" s="9" t="s">
        <v>130</v>
      </c>
    </row>
    <row r="4" spans="1:13" x14ac:dyDescent="0.2">
      <c r="A4" s="9" t="s">
        <v>129</v>
      </c>
      <c r="C4">
        <v>1.05</v>
      </c>
      <c r="D4" s="161">
        <v>16400</v>
      </c>
      <c r="E4" s="165" t="s">
        <v>115</v>
      </c>
      <c r="F4" s="171">
        <v>26500</v>
      </c>
      <c r="G4" s="165" t="s">
        <v>119</v>
      </c>
      <c r="H4" s="189"/>
      <c r="I4" s="171">
        <v>32000</v>
      </c>
      <c r="J4" s="165" t="s">
        <v>117</v>
      </c>
      <c r="K4" s="157"/>
      <c r="L4" s="157">
        <f t="shared" ref="L4:L10" si="0">F4-I4</f>
        <v>-5500</v>
      </c>
    </row>
    <row r="5" spans="1:13" ht="13.5" thickBot="1" x14ac:dyDescent="0.25">
      <c r="A5" t="s">
        <v>113</v>
      </c>
      <c r="B5" t="s">
        <v>122</v>
      </c>
      <c r="C5">
        <v>1.01</v>
      </c>
      <c r="D5" s="161">
        <v>2800</v>
      </c>
      <c r="E5" s="165" t="s">
        <v>116</v>
      </c>
      <c r="F5" s="161">
        <v>13700</v>
      </c>
      <c r="G5" s="165" t="s">
        <v>120</v>
      </c>
      <c r="H5" s="185"/>
      <c r="I5" s="161">
        <v>16000</v>
      </c>
      <c r="J5" s="165" t="s">
        <v>120</v>
      </c>
      <c r="L5" s="157">
        <f t="shared" si="0"/>
        <v>-2300</v>
      </c>
    </row>
    <row r="6" spans="1:13" ht="13.5" thickBot="1" x14ac:dyDescent="0.25">
      <c r="A6" t="s">
        <v>113</v>
      </c>
      <c r="B6" t="s">
        <v>123</v>
      </c>
      <c r="C6" s="192">
        <v>1.88</v>
      </c>
      <c r="D6" s="161">
        <v>12700</v>
      </c>
      <c r="E6" s="165" t="s">
        <v>117</v>
      </c>
      <c r="F6" s="171">
        <v>20400</v>
      </c>
      <c r="G6" s="165" t="s">
        <v>120</v>
      </c>
      <c r="H6" s="187">
        <f>F6</f>
        <v>20400</v>
      </c>
      <c r="I6" s="175">
        <v>7000</v>
      </c>
      <c r="J6" s="176" t="s">
        <v>118</v>
      </c>
      <c r="K6" s="157">
        <f>H6-I6</f>
        <v>13400</v>
      </c>
      <c r="L6" s="157">
        <f t="shared" si="0"/>
        <v>13400</v>
      </c>
    </row>
    <row r="7" spans="1:13" x14ac:dyDescent="0.2">
      <c r="A7" s="9" t="s">
        <v>114</v>
      </c>
      <c r="B7" t="s">
        <v>124</v>
      </c>
      <c r="C7" s="193">
        <v>0.45</v>
      </c>
      <c r="D7" s="161">
        <v>31700</v>
      </c>
      <c r="E7" s="165" t="s">
        <v>118</v>
      </c>
      <c r="F7" s="171">
        <v>35600</v>
      </c>
      <c r="G7" s="165" t="s">
        <v>119</v>
      </c>
      <c r="H7" s="159"/>
      <c r="I7" s="179">
        <v>36000</v>
      </c>
      <c r="J7" s="180" t="s">
        <v>119</v>
      </c>
      <c r="K7" s="159"/>
      <c r="L7" s="157">
        <f t="shared" si="0"/>
        <v>-400</v>
      </c>
    </row>
    <row r="8" spans="1:13" ht="13.5" thickBot="1" x14ac:dyDescent="0.25">
      <c r="A8" s="9" t="s">
        <v>114</v>
      </c>
      <c r="B8" t="s">
        <v>125</v>
      </c>
      <c r="C8" s="194">
        <v>1.45</v>
      </c>
      <c r="D8" s="161">
        <v>36200</v>
      </c>
      <c r="E8" s="165" t="s">
        <v>119</v>
      </c>
      <c r="F8" s="171">
        <v>51600</v>
      </c>
      <c r="G8" s="165" t="s">
        <v>120</v>
      </c>
      <c r="H8" s="188">
        <f>(F7++F8+F9)/3</f>
        <v>43366.666666666664</v>
      </c>
      <c r="I8" s="171">
        <v>35000</v>
      </c>
      <c r="J8" s="165" t="s">
        <v>119</v>
      </c>
      <c r="K8" s="182">
        <f>H8-((I7++I8+I9)/3)</f>
        <v>10699.999999999996</v>
      </c>
      <c r="L8" s="157">
        <f t="shared" si="0"/>
        <v>16600</v>
      </c>
    </row>
    <row r="9" spans="1:13" ht="13.5" thickBot="1" x14ac:dyDescent="0.25">
      <c r="A9" s="9" t="s">
        <v>114</v>
      </c>
      <c r="B9" t="s">
        <v>126</v>
      </c>
      <c r="C9" s="190">
        <v>0.3</v>
      </c>
      <c r="D9" s="161">
        <v>28600</v>
      </c>
      <c r="E9" s="165" t="s">
        <v>118</v>
      </c>
      <c r="F9" s="171">
        <v>42900</v>
      </c>
      <c r="G9" s="165" t="s">
        <v>117</v>
      </c>
      <c r="H9" s="181"/>
      <c r="I9" s="172">
        <v>27000</v>
      </c>
      <c r="J9" s="166" t="s">
        <v>118</v>
      </c>
      <c r="K9" s="181"/>
      <c r="L9" s="157">
        <f t="shared" si="0"/>
        <v>15900</v>
      </c>
    </row>
    <row r="10" spans="1:13" ht="13.5" thickBot="1" x14ac:dyDescent="0.25">
      <c r="A10" s="9" t="s">
        <v>114</v>
      </c>
      <c r="B10" t="s">
        <v>127</v>
      </c>
      <c r="D10" s="162">
        <v>42900</v>
      </c>
      <c r="E10" s="166" t="s">
        <v>117</v>
      </c>
      <c r="F10" s="162">
        <v>42900</v>
      </c>
      <c r="G10" s="166" t="s">
        <v>117</v>
      </c>
      <c r="H10" s="186"/>
      <c r="I10" s="177">
        <v>44000</v>
      </c>
      <c r="J10" s="178" t="s">
        <v>117</v>
      </c>
      <c r="L10" s="157">
        <f t="shared" si="0"/>
        <v>-1100</v>
      </c>
    </row>
    <row r="11" spans="1:13" ht="13.5" thickBot="1" x14ac:dyDescent="0.25">
      <c r="A11" s="9" t="s">
        <v>128</v>
      </c>
      <c r="D11" s="167"/>
      <c r="E11" s="168"/>
      <c r="F11" s="168" t="s">
        <v>140</v>
      </c>
      <c r="G11" s="168"/>
      <c r="H11" s="168" t="s">
        <v>141</v>
      </c>
      <c r="I11" s="169">
        <v>22000</v>
      </c>
      <c r="J11" s="170" t="s">
        <v>118</v>
      </c>
      <c r="K11" s="157"/>
    </row>
    <row r="12" spans="1:13" x14ac:dyDescent="0.2">
      <c r="B12" s="174" t="s">
        <v>136</v>
      </c>
      <c r="C12" s="191">
        <f>SUM(C6:C8)</f>
        <v>3.7800000000000002</v>
      </c>
      <c r="J12" s="9"/>
    </row>
    <row r="13" spans="1:13" x14ac:dyDescent="0.2">
      <c r="C13">
        <f>Input!B6</f>
        <v>8</v>
      </c>
    </row>
    <row r="14" spans="1:13" ht="15" x14ac:dyDescent="0.25">
      <c r="C14">
        <f>C13-C12</f>
        <v>4.22</v>
      </c>
      <c r="H14" s="145">
        <f>SUM(H4:H10)</f>
        <v>63766.666666666664</v>
      </c>
      <c r="I14" s="145"/>
      <c r="J14" s="145"/>
      <c r="K14" s="145">
        <f>SUM(K4:K10)</f>
        <v>24099.999999999996</v>
      </c>
      <c r="L14" s="121" t="s">
        <v>111</v>
      </c>
      <c r="M14" s="121"/>
    </row>
    <row r="15" spans="1:13" ht="15" x14ac:dyDescent="0.25">
      <c r="K15" s="145">
        <f>K14*365</f>
        <v>8796499.9999999981</v>
      </c>
      <c r="L15" t="s">
        <v>112</v>
      </c>
    </row>
    <row r="16" spans="1:13" x14ac:dyDescent="0.2">
      <c r="I16" s="174" t="s">
        <v>133</v>
      </c>
      <c r="J16">
        <f>C12-C13</f>
        <v>-4.22</v>
      </c>
      <c r="K16" s="146">
        <f>K15*J16</f>
        <v>-37121229.999999993</v>
      </c>
    </row>
    <row r="19" spans="2:2" x14ac:dyDescent="0.2">
      <c r="B19" s="9"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G78"/>
  <sheetViews>
    <sheetView workbookViewId="0">
      <selection activeCell="A19" sqref="A19:G19"/>
    </sheetView>
  </sheetViews>
  <sheetFormatPr defaultColWidth="8.7109375" defaultRowHeight="15" x14ac:dyDescent="0.25"/>
  <cols>
    <col min="1" max="3" width="8.7109375" style="522"/>
    <col min="4" max="4" width="45.5703125" style="522" bestFit="1" customWidth="1"/>
    <col min="5" max="5" width="20.42578125" style="522" bestFit="1" customWidth="1"/>
    <col min="6" max="6" width="48" style="522" bestFit="1" customWidth="1"/>
    <col min="7" max="7" width="36.85546875" style="522" bestFit="1" customWidth="1"/>
    <col min="8" max="16384" width="8.7109375" style="522"/>
  </cols>
  <sheetData>
    <row r="1" spans="1:7" x14ac:dyDescent="0.25">
      <c r="A1" s="974" t="s">
        <v>542</v>
      </c>
      <c r="B1" s="974"/>
      <c r="C1" s="974"/>
      <c r="D1" s="974"/>
      <c r="E1" s="974"/>
      <c r="F1" s="974"/>
      <c r="G1" s="974"/>
    </row>
    <row r="2" spans="1:7" x14ac:dyDescent="0.25">
      <c r="A2" s="523" t="s">
        <v>543</v>
      </c>
      <c r="B2" s="524" t="s">
        <v>544</v>
      </c>
      <c r="C2" s="525" t="s">
        <v>545</v>
      </c>
      <c r="D2" s="524" t="s">
        <v>546</v>
      </c>
      <c r="E2" s="524" t="s">
        <v>547</v>
      </c>
      <c r="F2" s="524" t="s">
        <v>548</v>
      </c>
      <c r="G2" s="524" t="s">
        <v>549</v>
      </c>
    </row>
    <row r="3" spans="1:7" x14ac:dyDescent="0.25">
      <c r="A3" s="526" t="s">
        <v>550</v>
      </c>
      <c r="B3" s="527" t="s">
        <v>551</v>
      </c>
      <c r="C3" s="528">
        <v>11.23</v>
      </c>
      <c r="D3" s="527" t="s">
        <v>552</v>
      </c>
      <c r="E3" s="527" t="s">
        <v>553</v>
      </c>
      <c r="F3" s="527" t="s">
        <v>554</v>
      </c>
      <c r="G3" s="529"/>
    </row>
    <row r="4" spans="1:7" x14ac:dyDescent="0.25">
      <c r="A4" s="526" t="s">
        <v>555</v>
      </c>
      <c r="B4" s="527" t="s">
        <v>551</v>
      </c>
      <c r="C4" s="528">
        <v>17.62</v>
      </c>
      <c r="D4" s="527" t="s">
        <v>556</v>
      </c>
      <c r="E4" s="527" t="s">
        <v>553</v>
      </c>
      <c r="F4" s="527" t="s">
        <v>557</v>
      </c>
      <c r="G4" s="529"/>
    </row>
    <row r="5" spans="1:7" x14ac:dyDescent="0.25">
      <c r="A5" s="526" t="s">
        <v>558</v>
      </c>
      <c r="B5" s="527" t="s">
        <v>559</v>
      </c>
      <c r="C5" s="528">
        <v>15.44</v>
      </c>
      <c r="D5" s="527" t="s">
        <v>560</v>
      </c>
      <c r="E5" s="527" t="s">
        <v>561</v>
      </c>
      <c r="F5" s="527" t="s">
        <v>562</v>
      </c>
      <c r="G5" s="529"/>
    </row>
    <row r="6" spans="1:7" x14ac:dyDescent="0.25">
      <c r="A6" s="526" t="s">
        <v>563</v>
      </c>
      <c r="B6" s="527" t="s">
        <v>559</v>
      </c>
      <c r="C6" s="528">
        <v>26.26</v>
      </c>
      <c r="D6" s="527" t="s">
        <v>564</v>
      </c>
      <c r="E6" s="527" t="s">
        <v>561</v>
      </c>
      <c r="F6" s="527" t="s">
        <v>565</v>
      </c>
      <c r="G6" s="529"/>
    </row>
    <row r="7" spans="1:7" x14ac:dyDescent="0.25">
      <c r="A7" s="526" t="s">
        <v>566</v>
      </c>
      <c r="B7" s="527" t="s">
        <v>567</v>
      </c>
      <c r="C7" s="528">
        <v>5.99</v>
      </c>
      <c r="D7" s="527" t="s">
        <v>568</v>
      </c>
      <c r="E7" s="527" t="s">
        <v>569</v>
      </c>
      <c r="F7" s="527" t="s">
        <v>557</v>
      </c>
      <c r="G7" s="529"/>
    </row>
    <row r="8" spans="1:7" x14ac:dyDescent="0.25">
      <c r="A8" s="526" t="s">
        <v>570</v>
      </c>
      <c r="B8" s="527" t="s">
        <v>571</v>
      </c>
      <c r="C8" s="528">
        <v>31.87</v>
      </c>
      <c r="D8" s="527" t="s">
        <v>572</v>
      </c>
      <c r="E8" s="527" t="s">
        <v>573</v>
      </c>
      <c r="F8" s="527" t="s">
        <v>574</v>
      </c>
      <c r="G8" s="529"/>
    </row>
    <row r="9" spans="1:7" x14ac:dyDescent="0.25">
      <c r="A9" s="526" t="s">
        <v>575</v>
      </c>
      <c r="B9" s="527" t="s">
        <v>576</v>
      </c>
      <c r="C9" s="528">
        <v>13.58</v>
      </c>
      <c r="D9" s="527" t="s">
        <v>577</v>
      </c>
      <c r="E9" s="527" t="s">
        <v>578</v>
      </c>
      <c r="F9" s="527" t="s">
        <v>579</v>
      </c>
      <c r="G9" s="529"/>
    </row>
    <row r="10" spans="1:7" x14ac:dyDescent="0.25">
      <c r="A10" s="526" t="s">
        <v>580</v>
      </c>
      <c r="B10" s="527" t="s">
        <v>581</v>
      </c>
      <c r="C10" s="528">
        <v>4.93</v>
      </c>
      <c r="D10" s="527" t="s">
        <v>582</v>
      </c>
      <c r="E10" s="527" t="s">
        <v>561</v>
      </c>
      <c r="F10" s="527" t="s">
        <v>583</v>
      </c>
      <c r="G10" s="529"/>
    </row>
    <row r="11" spans="1:7" x14ac:dyDescent="0.25">
      <c r="A11" s="526" t="s">
        <v>584</v>
      </c>
      <c r="B11" s="527" t="s">
        <v>585</v>
      </c>
      <c r="C11" s="528">
        <v>27.27</v>
      </c>
      <c r="D11" s="527" t="s">
        <v>552</v>
      </c>
      <c r="E11" s="527" t="s">
        <v>586</v>
      </c>
      <c r="F11" s="527" t="s">
        <v>587</v>
      </c>
      <c r="G11" s="529"/>
    </row>
    <row r="12" spans="1:7" x14ac:dyDescent="0.25">
      <c r="A12" s="526" t="s">
        <v>588</v>
      </c>
      <c r="B12" s="527" t="s">
        <v>585</v>
      </c>
      <c r="C12" s="528">
        <v>14.11</v>
      </c>
      <c r="D12" s="527" t="s">
        <v>589</v>
      </c>
      <c r="E12" s="527" t="s">
        <v>586</v>
      </c>
      <c r="F12" s="527" t="s">
        <v>590</v>
      </c>
      <c r="G12" s="529"/>
    </row>
    <row r="13" spans="1:7" x14ac:dyDescent="0.25">
      <c r="A13" s="526" t="s">
        <v>591</v>
      </c>
      <c r="B13" s="527" t="s">
        <v>592</v>
      </c>
      <c r="C13" s="528">
        <v>10.7</v>
      </c>
      <c r="D13" s="527" t="s">
        <v>590</v>
      </c>
      <c r="E13" s="527" t="s">
        <v>561</v>
      </c>
      <c r="F13" s="527" t="s">
        <v>593</v>
      </c>
      <c r="G13" s="529"/>
    </row>
    <row r="14" spans="1:7" x14ac:dyDescent="0.25">
      <c r="A14" s="526" t="s">
        <v>594</v>
      </c>
      <c r="B14" s="527" t="s">
        <v>592</v>
      </c>
      <c r="C14" s="528">
        <v>14.13</v>
      </c>
      <c r="D14" s="527" t="s">
        <v>593</v>
      </c>
      <c r="E14" s="527" t="s">
        <v>595</v>
      </c>
      <c r="F14" s="527" t="s">
        <v>596</v>
      </c>
      <c r="G14" s="529"/>
    </row>
    <row r="15" spans="1:7" x14ac:dyDescent="0.25">
      <c r="A15" s="526" t="s">
        <v>597</v>
      </c>
      <c r="B15" s="527" t="s">
        <v>598</v>
      </c>
      <c r="C15" s="528">
        <v>1.84</v>
      </c>
      <c r="D15" s="527" t="s">
        <v>599</v>
      </c>
      <c r="E15" s="527" t="s">
        <v>561</v>
      </c>
      <c r="F15" s="527" t="s">
        <v>600</v>
      </c>
      <c r="G15" s="529"/>
    </row>
    <row r="16" spans="1:7" x14ac:dyDescent="0.25">
      <c r="A16" s="526" t="s">
        <v>601</v>
      </c>
      <c r="B16" s="527" t="s">
        <v>602</v>
      </c>
      <c r="C16" s="528">
        <v>4.1100000000000003</v>
      </c>
      <c r="D16" s="527" t="s">
        <v>556</v>
      </c>
      <c r="E16" s="527" t="s">
        <v>569</v>
      </c>
      <c r="F16" s="527" t="s">
        <v>603</v>
      </c>
      <c r="G16" s="529"/>
    </row>
    <row r="17" spans="1:7" x14ac:dyDescent="0.25">
      <c r="A17" s="530"/>
      <c r="B17" s="531"/>
      <c r="C17" s="532">
        <v>199.08</v>
      </c>
      <c r="D17" s="533" t="s">
        <v>604</v>
      </c>
      <c r="E17" s="531"/>
      <c r="F17" s="531"/>
      <c r="G17" s="531"/>
    </row>
    <row r="19" spans="1:7" x14ac:dyDescent="0.25">
      <c r="A19" s="974" t="s">
        <v>605</v>
      </c>
      <c r="B19" s="974"/>
      <c r="C19" s="974"/>
      <c r="D19" s="974"/>
      <c r="E19" s="974"/>
      <c r="F19" s="974"/>
      <c r="G19" s="974"/>
    </row>
    <row r="20" spans="1:7" x14ac:dyDescent="0.25">
      <c r="A20" s="523" t="s">
        <v>543</v>
      </c>
      <c r="B20" s="524" t="s">
        <v>544</v>
      </c>
      <c r="C20" s="525" t="s">
        <v>545</v>
      </c>
      <c r="D20" s="524" t="s">
        <v>546</v>
      </c>
      <c r="E20" s="524" t="s">
        <v>547</v>
      </c>
      <c r="F20" s="524" t="s">
        <v>548</v>
      </c>
      <c r="G20" s="524" t="s">
        <v>549</v>
      </c>
    </row>
    <row r="21" spans="1:7" x14ac:dyDescent="0.25">
      <c r="A21" s="526" t="s">
        <v>606</v>
      </c>
      <c r="B21" s="527" t="s">
        <v>607</v>
      </c>
      <c r="C21" s="528">
        <v>18.649999999999999</v>
      </c>
      <c r="D21" s="527" t="s">
        <v>608</v>
      </c>
      <c r="E21" s="527" t="s">
        <v>561</v>
      </c>
      <c r="F21" s="527" t="s">
        <v>609</v>
      </c>
      <c r="G21" s="529" t="s">
        <v>610</v>
      </c>
    </row>
    <row r="22" spans="1:7" x14ac:dyDescent="0.25">
      <c r="A22" s="526" t="s">
        <v>611</v>
      </c>
      <c r="B22" s="527" t="s">
        <v>612</v>
      </c>
      <c r="C22" s="528">
        <v>4.6900000000000004</v>
      </c>
      <c r="D22" s="527" t="s">
        <v>613</v>
      </c>
      <c r="E22" s="527" t="s">
        <v>569</v>
      </c>
      <c r="F22" s="527" t="s">
        <v>614</v>
      </c>
      <c r="G22" s="534" t="s">
        <v>615</v>
      </c>
    </row>
    <row r="23" spans="1:7" x14ac:dyDescent="0.25">
      <c r="A23" s="526" t="s">
        <v>616</v>
      </c>
      <c r="B23" s="527" t="s">
        <v>617</v>
      </c>
      <c r="C23" s="528">
        <v>5.6</v>
      </c>
      <c r="D23" s="527" t="s">
        <v>618</v>
      </c>
      <c r="E23" s="527" t="s">
        <v>561</v>
      </c>
      <c r="F23" s="527" t="s">
        <v>619</v>
      </c>
      <c r="G23" s="534"/>
    </row>
    <row r="24" spans="1:7" x14ac:dyDescent="0.25">
      <c r="A24" s="526" t="s">
        <v>620</v>
      </c>
      <c r="B24" s="527" t="s">
        <v>612</v>
      </c>
      <c r="C24" s="528">
        <v>10.93</v>
      </c>
      <c r="D24" s="527" t="s">
        <v>621</v>
      </c>
      <c r="E24" s="527" t="s">
        <v>622</v>
      </c>
      <c r="F24" s="527" t="s">
        <v>623</v>
      </c>
      <c r="G24" s="534" t="s">
        <v>624</v>
      </c>
    </row>
    <row r="25" spans="1:7" x14ac:dyDescent="0.25">
      <c r="A25" s="526" t="s">
        <v>625</v>
      </c>
      <c r="B25" s="527" t="s">
        <v>626</v>
      </c>
      <c r="C25" s="528">
        <v>13.12</v>
      </c>
      <c r="D25" s="527" t="s">
        <v>627</v>
      </c>
      <c r="E25" s="527" t="s">
        <v>569</v>
      </c>
      <c r="F25" s="527" t="s">
        <v>628</v>
      </c>
      <c r="G25" s="534" t="s">
        <v>629</v>
      </c>
    </row>
    <row r="26" spans="1:7" x14ac:dyDescent="0.25">
      <c r="A26" s="526" t="s">
        <v>630</v>
      </c>
      <c r="B26" s="527" t="s">
        <v>617</v>
      </c>
      <c r="C26" s="528">
        <v>16.5</v>
      </c>
      <c r="D26" s="527" t="s">
        <v>631</v>
      </c>
      <c r="E26" s="527" t="s">
        <v>561</v>
      </c>
      <c r="F26" s="527" t="s">
        <v>609</v>
      </c>
      <c r="G26" s="529"/>
    </row>
    <row r="27" spans="1:7" x14ac:dyDescent="0.25">
      <c r="A27" s="526" t="s">
        <v>632</v>
      </c>
      <c r="B27" s="527" t="s">
        <v>626</v>
      </c>
      <c r="C27" s="528">
        <v>12.61</v>
      </c>
      <c r="D27" s="527" t="s">
        <v>633</v>
      </c>
      <c r="E27" s="527" t="s">
        <v>569</v>
      </c>
      <c r="F27" s="527" t="s">
        <v>627</v>
      </c>
      <c r="G27" s="529" t="s">
        <v>634</v>
      </c>
    </row>
    <row r="28" spans="1:7" x14ac:dyDescent="0.25">
      <c r="A28" s="526" t="s">
        <v>635</v>
      </c>
      <c r="B28" s="527" t="s">
        <v>636</v>
      </c>
      <c r="C28" s="528">
        <v>4.91</v>
      </c>
      <c r="D28" s="527" t="s">
        <v>637</v>
      </c>
      <c r="E28" s="527" t="s">
        <v>638</v>
      </c>
      <c r="F28" s="527" t="s">
        <v>639</v>
      </c>
      <c r="G28" s="529"/>
    </row>
    <row r="29" spans="1:7" x14ac:dyDescent="0.25">
      <c r="A29" s="526" t="s">
        <v>640</v>
      </c>
      <c r="B29" s="527" t="s">
        <v>641</v>
      </c>
      <c r="C29" s="528">
        <v>6.08</v>
      </c>
      <c r="D29" s="527" t="s">
        <v>618</v>
      </c>
      <c r="E29" s="527" t="s">
        <v>638</v>
      </c>
      <c r="F29" s="527" t="s">
        <v>642</v>
      </c>
      <c r="G29" s="529"/>
    </row>
    <row r="30" spans="1:7" x14ac:dyDescent="0.25">
      <c r="A30" s="526" t="s">
        <v>643</v>
      </c>
      <c r="B30" s="527" t="s">
        <v>644</v>
      </c>
      <c r="C30" s="528">
        <v>5.36</v>
      </c>
      <c r="D30" s="527" t="s">
        <v>645</v>
      </c>
      <c r="E30" s="527" t="s">
        <v>569</v>
      </c>
      <c r="F30" s="527" t="s">
        <v>646</v>
      </c>
      <c r="G30" s="529"/>
    </row>
    <row r="31" spans="1:7" x14ac:dyDescent="0.25">
      <c r="A31" s="526">
        <v>5552</v>
      </c>
      <c r="B31" s="527" t="s">
        <v>647</v>
      </c>
      <c r="C31" s="528">
        <v>6.94</v>
      </c>
      <c r="D31" s="527" t="s">
        <v>618</v>
      </c>
      <c r="E31" s="527" t="s">
        <v>553</v>
      </c>
      <c r="F31" s="527" t="s">
        <v>648</v>
      </c>
      <c r="G31" s="529" t="s">
        <v>649</v>
      </c>
    </row>
    <row r="32" spans="1:7" x14ac:dyDescent="0.25">
      <c r="A32" s="526" t="s">
        <v>650</v>
      </c>
      <c r="B32" s="527" t="s">
        <v>651</v>
      </c>
      <c r="C32" s="528">
        <v>15.29</v>
      </c>
      <c r="D32" s="527" t="s">
        <v>652</v>
      </c>
      <c r="E32" s="527" t="s">
        <v>569</v>
      </c>
      <c r="F32" s="527" t="s">
        <v>653</v>
      </c>
      <c r="G32" s="529" t="s">
        <v>654</v>
      </c>
    </row>
    <row r="33" spans="1:7" x14ac:dyDescent="0.25">
      <c r="A33" s="526" t="s">
        <v>655</v>
      </c>
      <c r="B33" s="527" t="s">
        <v>656</v>
      </c>
      <c r="C33" s="528">
        <v>12.24</v>
      </c>
      <c r="D33" s="527" t="s">
        <v>657</v>
      </c>
      <c r="E33" s="527" t="s">
        <v>578</v>
      </c>
      <c r="F33" s="527" t="s">
        <v>658</v>
      </c>
      <c r="G33" s="529"/>
    </row>
    <row r="34" spans="1:7" x14ac:dyDescent="0.25">
      <c r="A34" s="526" t="s">
        <v>659</v>
      </c>
      <c r="B34" s="527" t="s">
        <v>660</v>
      </c>
      <c r="C34" s="528">
        <v>20.25</v>
      </c>
      <c r="D34" s="527" t="s">
        <v>661</v>
      </c>
      <c r="E34" s="527" t="s">
        <v>638</v>
      </c>
      <c r="F34" s="527" t="s">
        <v>639</v>
      </c>
      <c r="G34" s="529" t="s">
        <v>662</v>
      </c>
    </row>
    <row r="35" spans="1:7" x14ac:dyDescent="0.25">
      <c r="A35" s="526" t="s">
        <v>663</v>
      </c>
      <c r="B35" s="527" t="s">
        <v>660</v>
      </c>
      <c r="C35" s="528">
        <v>10.45</v>
      </c>
      <c r="D35" s="527" t="s">
        <v>618</v>
      </c>
      <c r="E35" s="527" t="s">
        <v>561</v>
      </c>
      <c r="F35" s="527" t="s">
        <v>664</v>
      </c>
      <c r="G35" s="529"/>
    </row>
    <row r="36" spans="1:7" x14ac:dyDescent="0.25">
      <c r="A36" s="526" t="s">
        <v>665</v>
      </c>
      <c r="B36" s="527" t="s">
        <v>612</v>
      </c>
      <c r="C36" s="528">
        <v>1.97</v>
      </c>
      <c r="D36" s="527" t="s">
        <v>666</v>
      </c>
      <c r="E36" s="527" t="s">
        <v>569</v>
      </c>
      <c r="F36" s="527" t="s">
        <v>627</v>
      </c>
      <c r="G36" s="534" t="s">
        <v>667</v>
      </c>
    </row>
    <row r="37" spans="1:7" x14ac:dyDescent="0.25">
      <c r="A37" s="526" t="s">
        <v>668</v>
      </c>
      <c r="B37" s="527" t="s">
        <v>669</v>
      </c>
      <c r="C37" s="528">
        <v>16.5</v>
      </c>
      <c r="D37" s="527" t="s">
        <v>670</v>
      </c>
      <c r="E37" s="527" t="s">
        <v>561</v>
      </c>
      <c r="F37" s="527" t="s">
        <v>671</v>
      </c>
      <c r="G37" s="534" t="s">
        <v>672</v>
      </c>
    </row>
    <row r="38" spans="1:7" x14ac:dyDescent="0.25">
      <c r="A38" s="535">
        <v>5576</v>
      </c>
      <c r="B38" s="536" t="s">
        <v>612</v>
      </c>
      <c r="C38" s="537">
        <v>16.61</v>
      </c>
      <c r="D38" s="536" t="s">
        <v>673</v>
      </c>
      <c r="E38" s="536" t="s">
        <v>674</v>
      </c>
      <c r="F38" s="536" t="s">
        <v>609</v>
      </c>
      <c r="G38" s="538" t="s">
        <v>675</v>
      </c>
    </row>
    <row r="39" spans="1:7" x14ac:dyDescent="0.25">
      <c r="A39" s="526" t="s">
        <v>676</v>
      </c>
      <c r="B39" s="527" t="s">
        <v>677</v>
      </c>
      <c r="C39" s="528">
        <v>4.3499999999999996</v>
      </c>
      <c r="D39" s="527" t="s">
        <v>678</v>
      </c>
      <c r="E39" s="527" t="s">
        <v>569</v>
      </c>
      <c r="F39" s="527" t="s">
        <v>627</v>
      </c>
      <c r="G39" s="529"/>
    </row>
    <row r="40" spans="1:7" x14ac:dyDescent="0.25">
      <c r="A40" s="535">
        <v>5586</v>
      </c>
      <c r="B40" s="536" t="s">
        <v>679</v>
      </c>
      <c r="C40" s="537">
        <v>13.97</v>
      </c>
      <c r="D40" s="536" t="s">
        <v>680</v>
      </c>
      <c r="E40" s="536" t="s">
        <v>681</v>
      </c>
      <c r="F40" s="536" t="s">
        <v>618</v>
      </c>
      <c r="G40" s="538" t="s">
        <v>682</v>
      </c>
    </row>
    <row r="41" spans="1:7" x14ac:dyDescent="0.25">
      <c r="A41" s="526" t="s">
        <v>683</v>
      </c>
      <c r="B41" s="527" t="s">
        <v>684</v>
      </c>
      <c r="C41" s="528">
        <v>0.97</v>
      </c>
      <c r="D41" s="527" t="s">
        <v>685</v>
      </c>
      <c r="E41" s="527" t="s">
        <v>569</v>
      </c>
      <c r="F41" s="527" t="s">
        <v>686</v>
      </c>
      <c r="G41" s="529"/>
    </row>
    <row r="42" spans="1:7" x14ac:dyDescent="0.25">
      <c r="A42" s="530"/>
      <c r="B42" s="531"/>
      <c r="C42" s="532">
        <v>217.98999999999998</v>
      </c>
      <c r="D42" s="533" t="s">
        <v>604</v>
      </c>
      <c r="E42" s="531"/>
      <c r="F42" s="531"/>
      <c r="G42" s="531"/>
    </row>
    <row r="44" spans="1:7" x14ac:dyDescent="0.25">
      <c r="A44" s="974" t="s">
        <v>687</v>
      </c>
      <c r="B44" s="974"/>
      <c r="C44" s="974"/>
      <c r="D44" s="974"/>
      <c r="E44" s="974"/>
      <c r="F44" s="974"/>
      <c r="G44" s="974"/>
    </row>
    <row r="45" spans="1:7" x14ac:dyDescent="0.25">
      <c r="A45" s="523" t="s">
        <v>543</v>
      </c>
      <c r="B45" s="524" t="s">
        <v>544</v>
      </c>
      <c r="C45" s="525" t="s">
        <v>545</v>
      </c>
      <c r="D45" s="524" t="s">
        <v>546</v>
      </c>
      <c r="E45" s="524" t="s">
        <v>547</v>
      </c>
      <c r="F45" s="524" t="s">
        <v>548</v>
      </c>
      <c r="G45" s="524" t="s">
        <v>549</v>
      </c>
    </row>
    <row r="46" spans="1:7" x14ac:dyDescent="0.25">
      <c r="A46" s="526" t="s">
        <v>688</v>
      </c>
      <c r="B46" s="527" t="s">
        <v>689</v>
      </c>
      <c r="C46" s="528">
        <v>14.81</v>
      </c>
      <c r="D46" s="527" t="s">
        <v>690</v>
      </c>
      <c r="E46" s="527" t="s">
        <v>691</v>
      </c>
      <c r="F46" s="527" t="s">
        <v>692</v>
      </c>
      <c r="G46" s="529"/>
    </row>
    <row r="47" spans="1:7" x14ac:dyDescent="0.25">
      <c r="A47" s="526" t="s">
        <v>693</v>
      </c>
      <c r="B47" s="527" t="s">
        <v>612</v>
      </c>
      <c r="C47" s="528">
        <v>1.1000000000000001</v>
      </c>
      <c r="D47" s="527" t="s">
        <v>694</v>
      </c>
      <c r="E47" s="527" t="s">
        <v>569</v>
      </c>
      <c r="F47" s="527" t="s">
        <v>695</v>
      </c>
      <c r="G47" s="529"/>
    </row>
    <row r="48" spans="1:7" x14ac:dyDescent="0.25">
      <c r="A48" s="526" t="s">
        <v>696</v>
      </c>
      <c r="B48" s="527" t="s">
        <v>697</v>
      </c>
      <c r="C48" s="528">
        <v>16.28</v>
      </c>
      <c r="D48" s="527" t="s">
        <v>698</v>
      </c>
      <c r="E48" s="527" t="s">
        <v>578</v>
      </c>
      <c r="F48" s="527" t="s">
        <v>699</v>
      </c>
      <c r="G48" s="534" t="s">
        <v>700</v>
      </c>
    </row>
    <row r="49" spans="1:7" x14ac:dyDescent="0.25">
      <c r="A49" s="526" t="s">
        <v>701</v>
      </c>
      <c r="B49" s="527" t="s">
        <v>702</v>
      </c>
      <c r="C49" s="528">
        <v>6.08</v>
      </c>
      <c r="D49" s="527" t="s">
        <v>703</v>
      </c>
      <c r="E49" s="527" t="s">
        <v>569</v>
      </c>
      <c r="F49" s="527" t="s">
        <v>704</v>
      </c>
      <c r="G49" s="529"/>
    </row>
    <row r="50" spans="1:7" x14ac:dyDescent="0.25">
      <c r="A50" s="526" t="s">
        <v>705</v>
      </c>
      <c r="B50" s="527" t="s">
        <v>702</v>
      </c>
      <c r="C50" s="528">
        <v>11.79</v>
      </c>
      <c r="D50" s="527" t="s">
        <v>706</v>
      </c>
      <c r="E50" s="527" t="s">
        <v>569</v>
      </c>
      <c r="F50" s="527" t="s">
        <v>707</v>
      </c>
      <c r="G50" s="529"/>
    </row>
    <row r="51" spans="1:7" x14ac:dyDescent="0.25">
      <c r="A51" s="526" t="s">
        <v>708</v>
      </c>
      <c r="B51" s="527" t="s">
        <v>709</v>
      </c>
      <c r="C51" s="528">
        <v>1.21</v>
      </c>
      <c r="D51" s="527" t="s">
        <v>710</v>
      </c>
      <c r="E51" s="527" t="s">
        <v>569</v>
      </c>
      <c r="F51" s="527" t="s">
        <v>711</v>
      </c>
      <c r="G51" s="529"/>
    </row>
    <row r="52" spans="1:7" x14ac:dyDescent="0.25">
      <c r="A52" s="526" t="s">
        <v>712</v>
      </c>
      <c r="B52" s="527" t="s">
        <v>713</v>
      </c>
      <c r="C52" s="528">
        <v>2.1</v>
      </c>
      <c r="D52" s="527" t="s">
        <v>714</v>
      </c>
      <c r="E52" s="527" t="s">
        <v>561</v>
      </c>
      <c r="F52" s="527" t="s">
        <v>715</v>
      </c>
      <c r="G52" s="529"/>
    </row>
    <row r="53" spans="1:7" x14ac:dyDescent="0.25">
      <c r="A53" s="526" t="s">
        <v>716</v>
      </c>
      <c r="B53" s="527" t="s">
        <v>717</v>
      </c>
      <c r="C53" s="528">
        <v>15.74</v>
      </c>
      <c r="D53" s="527" t="s">
        <v>718</v>
      </c>
      <c r="E53" s="527" t="s">
        <v>719</v>
      </c>
      <c r="F53" s="527" t="s">
        <v>720</v>
      </c>
      <c r="G53" s="529"/>
    </row>
    <row r="54" spans="1:7" x14ac:dyDescent="0.25">
      <c r="A54" s="526" t="s">
        <v>721</v>
      </c>
      <c r="B54" s="527" t="s">
        <v>722</v>
      </c>
      <c r="C54" s="528">
        <v>0.55000000000000004</v>
      </c>
      <c r="D54" s="527" t="s">
        <v>723</v>
      </c>
      <c r="E54" s="527" t="s">
        <v>561</v>
      </c>
      <c r="F54" s="527" t="s">
        <v>724</v>
      </c>
      <c r="G54" s="529"/>
    </row>
    <row r="55" spans="1:7" x14ac:dyDescent="0.25">
      <c r="A55" s="526" t="s">
        <v>725</v>
      </c>
      <c r="B55" s="527" t="s">
        <v>722</v>
      </c>
      <c r="C55" s="528">
        <v>9.57</v>
      </c>
      <c r="D55" s="527" t="s">
        <v>724</v>
      </c>
      <c r="E55" s="527" t="s">
        <v>561</v>
      </c>
      <c r="F55" s="527" t="s">
        <v>726</v>
      </c>
      <c r="G55" s="529"/>
    </row>
    <row r="56" spans="1:7" x14ac:dyDescent="0.25">
      <c r="A56" s="526" t="s">
        <v>727</v>
      </c>
      <c r="B56" s="527" t="s">
        <v>722</v>
      </c>
      <c r="C56" s="528">
        <v>0.49</v>
      </c>
      <c r="D56" s="527" t="s">
        <v>728</v>
      </c>
      <c r="E56" s="527" t="s">
        <v>561</v>
      </c>
      <c r="F56" s="527" t="s">
        <v>715</v>
      </c>
      <c r="G56" s="529"/>
    </row>
    <row r="57" spans="1:7" x14ac:dyDescent="0.25">
      <c r="A57" s="535">
        <v>7260</v>
      </c>
      <c r="B57" s="536" t="s">
        <v>679</v>
      </c>
      <c r="C57" s="537">
        <v>0.97</v>
      </c>
      <c r="D57" s="536" t="s">
        <v>694</v>
      </c>
      <c r="E57" s="536" t="s">
        <v>561</v>
      </c>
      <c r="F57" s="536" t="s">
        <v>729</v>
      </c>
      <c r="G57" s="538" t="s">
        <v>730</v>
      </c>
    </row>
    <row r="58" spans="1:7" x14ac:dyDescent="0.25">
      <c r="A58" s="535">
        <v>7262</v>
      </c>
      <c r="B58" s="536" t="s">
        <v>679</v>
      </c>
      <c r="C58" s="537">
        <v>7.32</v>
      </c>
      <c r="D58" s="536" t="s">
        <v>714</v>
      </c>
      <c r="E58" s="536" t="s">
        <v>638</v>
      </c>
      <c r="F58" s="536" t="s">
        <v>692</v>
      </c>
      <c r="G58" s="538" t="s">
        <v>731</v>
      </c>
    </row>
    <row r="59" spans="1:7" x14ac:dyDescent="0.25">
      <c r="A59" s="526" t="s">
        <v>732</v>
      </c>
      <c r="B59" s="527" t="s">
        <v>733</v>
      </c>
      <c r="C59" s="528">
        <v>8.02</v>
      </c>
      <c r="D59" s="527" t="s">
        <v>694</v>
      </c>
      <c r="E59" s="527" t="s">
        <v>561</v>
      </c>
      <c r="F59" s="527" t="s">
        <v>734</v>
      </c>
      <c r="G59" s="529"/>
    </row>
    <row r="60" spans="1:7" x14ac:dyDescent="0.25">
      <c r="A60" s="526" t="s">
        <v>735</v>
      </c>
      <c r="B60" s="527" t="s">
        <v>736</v>
      </c>
      <c r="C60" s="528">
        <v>3</v>
      </c>
      <c r="D60" s="527" t="s">
        <v>694</v>
      </c>
      <c r="E60" s="527" t="s">
        <v>569</v>
      </c>
      <c r="F60" s="527" t="s">
        <v>737</v>
      </c>
      <c r="G60" s="529"/>
    </row>
    <row r="61" spans="1:7" x14ac:dyDescent="0.25">
      <c r="A61" s="526" t="s">
        <v>738</v>
      </c>
      <c r="B61" s="527" t="s">
        <v>736</v>
      </c>
      <c r="C61" s="528">
        <v>2.08</v>
      </c>
      <c r="D61" s="527" t="s">
        <v>711</v>
      </c>
      <c r="E61" s="527" t="s">
        <v>569</v>
      </c>
      <c r="F61" s="527" t="s">
        <v>723</v>
      </c>
      <c r="G61" s="529"/>
    </row>
    <row r="62" spans="1:7" x14ac:dyDescent="0.25">
      <c r="A62" s="526" t="s">
        <v>739</v>
      </c>
      <c r="B62" s="527" t="s">
        <v>612</v>
      </c>
      <c r="C62" s="528">
        <v>14.47</v>
      </c>
      <c r="D62" s="527" t="s">
        <v>707</v>
      </c>
      <c r="E62" s="527" t="s">
        <v>553</v>
      </c>
      <c r="F62" s="527" t="s">
        <v>740</v>
      </c>
      <c r="G62" s="529"/>
    </row>
    <row r="63" spans="1:7" x14ac:dyDescent="0.25">
      <c r="A63" s="526" t="s">
        <v>741</v>
      </c>
      <c r="B63" s="527" t="s">
        <v>709</v>
      </c>
      <c r="C63" s="528">
        <v>14.44</v>
      </c>
      <c r="D63" s="527" t="s">
        <v>742</v>
      </c>
      <c r="E63" s="527" t="s">
        <v>638</v>
      </c>
      <c r="F63" s="527" t="s">
        <v>692</v>
      </c>
      <c r="G63" s="527" t="s">
        <v>743</v>
      </c>
    </row>
    <row r="64" spans="1:7" x14ac:dyDescent="0.25">
      <c r="A64" s="526" t="s">
        <v>744</v>
      </c>
      <c r="B64" s="527" t="s">
        <v>745</v>
      </c>
      <c r="C64" s="528">
        <v>17.46</v>
      </c>
      <c r="D64" s="527" t="s">
        <v>646</v>
      </c>
      <c r="E64" s="527" t="s">
        <v>569</v>
      </c>
      <c r="F64" s="527" t="s">
        <v>715</v>
      </c>
      <c r="G64" s="527" t="s">
        <v>746</v>
      </c>
    </row>
    <row r="65" spans="1:7" x14ac:dyDescent="0.25">
      <c r="A65" s="526" t="s">
        <v>747</v>
      </c>
      <c r="B65" s="527" t="s">
        <v>748</v>
      </c>
      <c r="C65" s="528">
        <v>1.01</v>
      </c>
      <c r="D65" s="527" t="s">
        <v>694</v>
      </c>
      <c r="E65" s="527" t="s">
        <v>561</v>
      </c>
      <c r="F65" s="527" t="s">
        <v>749</v>
      </c>
      <c r="G65" s="529"/>
    </row>
    <row r="66" spans="1:7" x14ac:dyDescent="0.25">
      <c r="A66" s="526" t="s">
        <v>750</v>
      </c>
      <c r="B66" s="527" t="s">
        <v>745</v>
      </c>
      <c r="C66" s="528">
        <v>9.1</v>
      </c>
      <c r="D66" s="527" t="s">
        <v>751</v>
      </c>
      <c r="E66" s="527" t="s">
        <v>569</v>
      </c>
      <c r="F66" s="527" t="s">
        <v>646</v>
      </c>
      <c r="G66" s="529"/>
    </row>
    <row r="67" spans="1:7" x14ac:dyDescent="0.25">
      <c r="A67" s="526" t="s">
        <v>752</v>
      </c>
      <c r="B67" s="527" t="s">
        <v>753</v>
      </c>
      <c r="C67" s="528">
        <v>0.4</v>
      </c>
      <c r="D67" s="527" t="s">
        <v>754</v>
      </c>
      <c r="E67" s="527" t="s">
        <v>561</v>
      </c>
      <c r="F67" s="527" t="s">
        <v>755</v>
      </c>
      <c r="G67" s="529"/>
    </row>
    <row r="68" spans="1:7" x14ac:dyDescent="0.25">
      <c r="A68" s="526" t="s">
        <v>756</v>
      </c>
      <c r="B68" s="527" t="s">
        <v>709</v>
      </c>
      <c r="C68" s="528">
        <v>10.41</v>
      </c>
      <c r="D68" s="527" t="s">
        <v>694</v>
      </c>
      <c r="E68" s="527" t="s">
        <v>561</v>
      </c>
      <c r="F68" s="527" t="s">
        <v>710</v>
      </c>
      <c r="G68" s="529"/>
    </row>
    <row r="69" spans="1:7" x14ac:dyDescent="0.25">
      <c r="A69" s="526" t="s">
        <v>757</v>
      </c>
      <c r="B69" s="527" t="s">
        <v>689</v>
      </c>
      <c r="C69" s="528">
        <v>15.35</v>
      </c>
      <c r="D69" s="527" t="s">
        <v>723</v>
      </c>
      <c r="E69" s="527" t="s">
        <v>561</v>
      </c>
      <c r="F69" s="527" t="s">
        <v>758</v>
      </c>
      <c r="G69" s="527" t="s">
        <v>759</v>
      </c>
    </row>
    <row r="70" spans="1:7" x14ac:dyDescent="0.25">
      <c r="A70" s="526" t="s">
        <v>760</v>
      </c>
      <c r="B70" s="527" t="s">
        <v>717</v>
      </c>
      <c r="C70" s="528">
        <v>5.27</v>
      </c>
      <c r="D70" s="527" t="s">
        <v>761</v>
      </c>
      <c r="E70" s="527" t="s">
        <v>762</v>
      </c>
      <c r="F70" s="527" t="s">
        <v>763</v>
      </c>
      <c r="G70" s="527" t="s">
        <v>764</v>
      </c>
    </row>
    <row r="71" spans="1:7" x14ac:dyDescent="0.25">
      <c r="A71" s="526" t="s">
        <v>765</v>
      </c>
      <c r="B71" s="527" t="s">
        <v>745</v>
      </c>
      <c r="C71" s="528">
        <v>0.16</v>
      </c>
      <c r="D71" s="527" t="s">
        <v>715</v>
      </c>
      <c r="E71" s="527" t="s">
        <v>553</v>
      </c>
      <c r="F71" s="527" t="s">
        <v>715</v>
      </c>
      <c r="G71" s="529"/>
    </row>
    <row r="72" spans="1:7" x14ac:dyDescent="0.25">
      <c r="A72" s="526" t="s">
        <v>766</v>
      </c>
      <c r="B72" s="527" t="s">
        <v>767</v>
      </c>
      <c r="C72" s="528">
        <v>1.45</v>
      </c>
      <c r="D72" s="527" t="s">
        <v>768</v>
      </c>
      <c r="E72" s="527" t="s">
        <v>569</v>
      </c>
      <c r="F72" s="527" t="s">
        <v>769</v>
      </c>
      <c r="G72" s="527" t="s">
        <v>770</v>
      </c>
    </row>
    <row r="73" spans="1:7" x14ac:dyDescent="0.25">
      <c r="A73" s="526" t="s">
        <v>771</v>
      </c>
      <c r="B73" s="527" t="s">
        <v>702</v>
      </c>
      <c r="C73" s="528">
        <v>19.48</v>
      </c>
      <c r="D73" s="527" t="s">
        <v>769</v>
      </c>
      <c r="E73" s="527" t="s">
        <v>772</v>
      </c>
      <c r="F73" s="527" t="s">
        <v>718</v>
      </c>
      <c r="G73" s="527" t="s">
        <v>773</v>
      </c>
    </row>
    <row r="74" spans="1:7" x14ac:dyDescent="0.25">
      <c r="A74" s="526" t="s">
        <v>774</v>
      </c>
      <c r="B74" s="527" t="s">
        <v>767</v>
      </c>
      <c r="C74" s="528">
        <v>1.32</v>
      </c>
      <c r="D74" s="527" t="s">
        <v>775</v>
      </c>
      <c r="E74" s="527" t="s">
        <v>561</v>
      </c>
      <c r="F74" s="527" t="s">
        <v>776</v>
      </c>
      <c r="G74" s="527" t="s">
        <v>743</v>
      </c>
    </row>
    <row r="75" spans="1:7" x14ac:dyDescent="0.25">
      <c r="A75" s="526" t="s">
        <v>777</v>
      </c>
      <c r="B75" s="527" t="s">
        <v>717</v>
      </c>
      <c r="C75" s="528">
        <v>1.7</v>
      </c>
      <c r="D75" s="527" t="s">
        <v>778</v>
      </c>
      <c r="E75" s="527" t="s">
        <v>561</v>
      </c>
      <c r="F75" s="527" t="s">
        <v>779</v>
      </c>
      <c r="G75" s="529"/>
    </row>
    <row r="76" spans="1:7" x14ac:dyDescent="0.25">
      <c r="A76" s="526" t="s">
        <v>780</v>
      </c>
      <c r="B76" s="527" t="s">
        <v>781</v>
      </c>
      <c r="C76" s="528">
        <v>2.2999999999999998</v>
      </c>
      <c r="D76" s="527" t="s">
        <v>782</v>
      </c>
      <c r="E76" s="527" t="s">
        <v>569</v>
      </c>
      <c r="F76" s="527" t="s">
        <v>783</v>
      </c>
      <c r="G76" s="529"/>
    </row>
    <row r="77" spans="1:7" x14ac:dyDescent="0.25">
      <c r="A77" s="535">
        <v>7298</v>
      </c>
      <c r="B77" s="536" t="s">
        <v>679</v>
      </c>
      <c r="C77" s="537">
        <v>7.42</v>
      </c>
      <c r="D77" s="536" t="s">
        <v>784</v>
      </c>
      <c r="E77" s="536" t="s">
        <v>561</v>
      </c>
      <c r="F77" s="536" t="s">
        <v>751</v>
      </c>
      <c r="G77" s="538" t="s">
        <v>730</v>
      </c>
    </row>
    <row r="78" spans="1:7" x14ac:dyDescent="0.25">
      <c r="A78" s="530"/>
      <c r="B78" s="531"/>
      <c r="C78" s="532">
        <v>222.84999999999994</v>
      </c>
      <c r="D78" s="533" t="s">
        <v>604</v>
      </c>
      <c r="E78" s="531"/>
      <c r="F78" s="531"/>
      <c r="G78" s="531"/>
    </row>
  </sheetData>
  <mergeCells count="3">
    <mergeCell ref="A1:G1"/>
    <mergeCell ref="A19:G19"/>
    <mergeCell ref="A44:G4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T91"/>
  <sheetViews>
    <sheetView zoomScale="80" zoomScaleNormal="80" workbookViewId="0">
      <selection sqref="A1:G1"/>
    </sheetView>
  </sheetViews>
  <sheetFormatPr defaultColWidth="8.7109375" defaultRowHeight="15" x14ac:dyDescent="0.25"/>
  <cols>
    <col min="1" max="7" width="14.7109375" style="522" customWidth="1"/>
    <col min="8" max="8" width="2.5703125" style="522" customWidth="1"/>
    <col min="9" max="9" width="2.85546875" style="522" customWidth="1"/>
    <col min="10" max="10" width="15" style="564" customWidth="1"/>
    <col min="11" max="11" width="21.5703125" style="564" customWidth="1"/>
    <col min="12" max="12" width="20.28515625" style="564" customWidth="1"/>
    <col min="13" max="13" width="16.28515625" style="564" customWidth="1"/>
    <col min="14" max="14" width="21" style="564" customWidth="1"/>
    <col min="15" max="15" width="14.85546875" style="564" customWidth="1"/>
    <col min="16" max="16" width="14.7109375" style="564" customWidth="1"/>
    <col min="17" max="17" width="20.140625" style="564" customWidth="1"/>
    <col min="18" max="18" width="22.85546875" style="564" customWidth="1"/>
    <col min="19" max="19" width="15" style="564" customWidth="1"/>
    <col min="20" max="20" width="23.42578125" style="565" customWidth="1"/>
    <col min="21" max="21" width="16.28515625" style="522" bestFit="1" customWidth="1"/>
    <col min="22" max="22" width="6.42578125" style="522" customWidth="1"/>
    <col min="23" max="23" width="15.42578125" style="522" bestFit="1" customWidth="1"/>
    <col min="24" max="24" width="15" style="522" bestFit="1" customWidth="1"/>
    <col min="25" max="25" width="16.28515625" style="522" bestFit="1" customWidth="1"/>
    <col min="26" max="26" width="9" style="522" bestFit="1" customWidth="1"/>
    <col min="27" max="27" width="11.5703125" style="522" customWidth="1"/>
    <col min="28" max="28" width="9.5703125" style="522" bestFit="1" customWidth="1"/>
    <col min="29" max="16384" width="8.7109375" style="522"/>
  </cols>
  <sheetData>
    <row r="1" spans="1:20" ht="15.75" x14ac:dyDescent="0.25">
      <c r="A1" s="975" t="s">
        <v>841</v>
      </c>
      <c r="B1" s="976"/>
      <c r="C1" s="976"/>
      <c r="D1" s="976"/>
      <c r="E1" s="976"/>
      <c r="F1" s="976"/>
      <c r="G1" s="977"/>
      <c r="H1" s="563"/>
      <c r="I1" s="563"/>
    </row>
    <row r="2" spans="1:20" x14ac:dyDescent="0.25">
      <c r="A2" s="566" t="s">
        <v>842</v>
      </c>
      <c r="B2" s="567"/>
      <c r="C2" s="568"/>
      <c r="D2" s="568"/>
      <c r="E2" s="567"/>
      <c r="F2" s="567"/>
      <c r="G2" s="569"/>
      <c r="H2" s="570"/>
      <c r="I2" s="570"/>
    </row>
    <row r="3" spans="1:20" x14ac:dyDescent="0.25">
      <c r="A3" s="571" t="s">
        <v>843</v>
      </c>
      <c r="B3" s="572" t="s">
        <v>844</v>
      </c>
      <c r="C3" s="572" t="s">
        <v>845</v>
      </c>
      <c r="D3" s="572" t="s">
        <v>846</v>
      </c>
      <c r="E3" s="572" t="s">
        <v>847</v>
      </c>
      <c r="F3" s="572" t="s">
        <v>848</v>
      </c>
      <c r="G3" s="573" t="s">
        <v>849</v>
      </c>
      <c r="J3" s="574"/>
      <c r="K3" s="575"/>
      <c r="L3" s="575"/>
      <c r="M3" s="575"/>
      <c r="N3" s="575"/>
      <c r="O3" s="575"/>
      <c r="P3" s="575"/>
      <c r="Q3" s="575"/>
      <c r="R3" s="575"/>
      <c r="S3" s="575"/>
      <c r="T3" s="576"/>
    </row>
    <row r="4" spans="1:20" x14ac:dyDescent="0.25">
      <c r="A4" s="577" t="s">
        <v>850</v>
      </c>
      <c r="B4" s="578">
        <v>0</v>
      </c>
      <c r="C4" s="578">
        <v>0.12</v>
      </c>
      <c r="D4" s="578">
        <f>C4-B4</f>
        <v>0.12</v>
      </c>
      <c r="E4" s="579">
        <v>87</v>
      </c>
      <c r="F4" s="579">
        <v>126.666666666667</v>
      </c>
      <c r="G4" s="580" t="s">
        <v>851</v>
      </c>
      <c r="H4" s="581">
        <f>D4*E4</f>
        <v>10.44</v>
      </c>
      <c r="I4" s="581">
        <f>D4*F4</f>
        <v>15.200000000000038</v>
      </c>
      <c r="J4" s="582"/>
      <c r="K4" s="575"/>
      <c r="L4" s="582"/>
      <c r="M4" s="582"/>
      <c r="N4" s="575"/>
      <c r="O4" s="575"/>
      <c r="P4" s="583"/>
      <c r="Q4" s="575"/>
      <c r="R4" s="575"/>
      <c r="S4" s="575"/>
      <c r="T4" s="576"/>
    </row>
    <row r="5" spans="1:20" x14ac:dyDescent="0.25">
      <c r="A5" s="577" t="s">
        <v>852</v>
      </c>
      <c r="B5" s="578">
        <v>0.12</v>
      </c>
      <c r="C5" s="578">
        <v>0.38</v>
      </c>
      <c r="D5" s="578">
        <f t="shared" ref="D5:D10" si="0">C5-B5</f>
        <v>0.26</v>
      </c>
      <c r="E5" s="579">
        <v>86</v>
      </c>
      <c r="F5" s="579">
        <v>135</v>
      </c>
      <c r="G5" s="580" t="s">
        <v>851</v>
      </c>
      <c r="H5" s="581">
        <f t="shared" ref="H5:H10" si="1">D5*E5</f>
        <v>22.36</v>
      </c>
      <c r="I5" s="581">
        <f t="shared" ref="I5:I10" si="2">D5*F5</f>
        <v>35.1</v>
      </c>
      <c r="J5" s="582"/>
      <c r="K5" s="575"/>
      <c r="L5" s="582"/>
      <c r="M5" s="582"/>
      <c r="N5" s="575"/>
      <c r="O5" s="575"/>
      <c r="P5" s="583"/>
      <c r="Q5" s="575"/>
      <c r="R5" s="575"/>
      <c r="S5" s="575"/>
      <c r="T5" s="576"/>
    </row>
    <row r="6" spans="1:20" x14ac:dyDescent="0.25">
      <c r="A6" s="577" t="s">
        <v>853</v>
      </c>
      <c r="B6" s="578">
        <v>0.38</v>
      </c>
      <c r="C6" s="578">
        <v>0.63</v>
      </c>
      <c r="D6" s="578">
        <f t="shared" si="0"/>
        <v>0.25</v>
      </c>
      <c r="E6" s="579">
        <v>75</v>
      </c>
      <c r="F6" s="579">
        <v>183</v>
      </c>
      <c r="G6" s="580" t="s">
        <v>851</v>
      </c>
      <c r="H6" s="581">
        <f t="shared" si="1"/>
        <v>18.75</v>
      </c>
      <c r="I6" s="581">
        <f t="shared" si="2"/>
        <v>45.75</v>
      </c>
      <c r="J6" s="582"/>
      <c r="K6" s="575"/>
      <c r="L6" s="582"/>
      <c r="M6" s="582"/>
      <c r="N6" s="575"/>
      <c r="O6" s="575"/>
      <c r="P6" s="583"/>
      <c r="Q6" s="575"/>
      <c r="R6" s="575"/>
      <c r="S6" s="575"/>
      <c r="T6" s="576"/>
    </row>
    <row r="7" spans="1:20" x14ac:dyDescent="0.25">
      <c r="A7" s="577" t="s">
        <v>854</v>
      </c>
      <c r="B7" s="578">
        <v>0.63</v>
      </c>
      <c r="C7" s="578">
        <v>1.4</v>
      </c>
      <c r="D7" s="578">
        <f t="shared" si="0"/>
        <v>0.76999999999999991</v>
      </c>
      <c r="E7" s="579">
        <v>73</v>
      </c>
      <c r="F7" s="579">
        <v>139</v>
      </c>
      <c r="G7" s="580" t="s">
        <v>855</v>
      </c>
      <c r="H7" s="581">
        <f t="shared" si="1"/>
        <v>56.209999999999994</v>
      </c>
      <c r="I7" s="581">
        <f t="shared" si="2"/>
        <v>107.02999999999999</v>
      </c>
      <c r="J7" s="582"/>
      <c r="K7" s="575"/>
      <c r="L7" s="582"/>
      <c r="M7" s="582"/>
      <c r="N7" s="575"/>
      <c r="O7" s="575"/>
      <c r="P7" s="583"/>
      <c r="Q7" s="575"/>
      <c r="R7" s="575"/>
      <c r="S7" s="575"/>
      <c r="T7" s="576"/>
    </row>
    <row r="8" spans="1:20" x14ac:dyDescent="0.25">
      <c r="A8" s="584" t="s">
        <v>856</v>
      </c>
      <c r="B8" s="585">
        <v>1.4</v>
      </c>
      <c r="C8" s="585">
        <v>1.92</v>
      </c>
      <c r="D8" s="585">
        <f t="shared" si="0"/>
        <v>0.52</v>
      </c>
      <c r="E8" s="586">
        <v>76</v>
      </c>
      <c r="F8" s="586">
        <v>146.11538461538501</v>
      </c>
      <c r="G8" s="587" t="s">
        <v>855</v>
      </c>
      <c r="H8" s="581">
        <f t="shared" si="1"/>
        <v>39.520000000000003</v>
      </c>
      <c r="I8" s="581">
        <f t="shared" si="2"/>
        <v>75.980000000000203</v>
      </c>
      <c r="J8" s="582"/>
      <c r="K8" s="575"/>
      <c r="L8" s="582"/>
      <c r="M8" s="582"/>
      <c r="N8" s="575"/>
      <c r="O8" s="575"/>
      <c r="P8" s="583"/>
      <c r="Q8" s="575"/>
      <c r="R8" s="575"/>
      <c r="S8" s="575"/>
      <c r="T8" s="576"/>
    </row>
    <row r="9" spans="1:20" x14ac:dyDescent="0.25">
      <c r="A9" s="588">
        <v>7278</v>
      </c>
      <c r="B9" s="589">
        <v>1.92</v>
      </c>
      <c r="C9" s="589">
        <v>2.48</v>
      </c>
      <c r="D9" s="589">
        <f t="shared" si="0"/>
        <v>0.56000000000000005</v>
      </c>
      <c r="E9" s="590">
        <v>79</v>
      </c>
      <c r="F9" s="590">
        <v>111</v>
      </c>
      <c r="G9" s="591" t="s">
        <v>855</v>
      </c>
      <c r="H9" s="581">
        <f t="shared" si="1"/>
        <v>44.24</v>
      </c>
      <c r="I9" s="581">
        <f t="shared" si="2"/>
        <v>62.160000000000004</v>
      </c>
      <c r="J9" s="582"/>
      <c r="K9" s="575"/>
      <c r="L9" s="582"/>
      <c r="M9" s="582"/>
      <c r="N9" s="575"/>
      <c r="O9" s="575"/>
      <c r="P9" s="583"/>
      <c r="Q9" s="575"/>
      <c r="R9" s="575"/>
      <c r="S9" s="575"/>
      <c r="T9" s="576"/>
    </row>
    <row r="10" spans="1:20" x14ac:dyDescent="0.25">
      <c r="A10" s="592">
        <v>7278</v>
      </c>
      <c r="B10" s="593">
        <v>2.48</v>
      </c>
      <c r="C10" s="593">
        <v>2.7</v>
      </c>
      <c r="D10" s="593">
        <f t="shared" si="0"/>
        <v>0.2200000000000002</v>
      </c>
      <c r="E10" s="594">
        <v>85</v>
      </c>
      <c r="F10" s="594">
        <v>149</v>
      </c>
      <c r="G10" s="595" t="s">
        <v>857</v>
      </c>
      <c r="H10" s="581">
        <f t="shared" si="1"/>
        <v>18.700000000000017</v>
      </c>
      <c r="I10" s="581">
        <f t="shared" si="2"/>
        <v>32.78000000000003</v>
      </c>
      <c r="J10" s="582"/>
      <c r="K10" s="575"/>
      <c r="L10" s="582"/>
      <c r="M10" s="582"/>
      <c r="N10" s="575"/>
      <c r="O10" s="575"/>
      <c r="P10" s="582"/>
      <c r="Q10" s="575"/>
      <c r="R10" s="575"/>
      <c r="S10" s="575"/>
      <c r="T10" s="576"/>
    </row>
    <row r="11" spans="1:20" x14ac:dyDescent="0.25">
      <c r="A11" s="596" t="s">
        <v>485</v>
      </c>
      <c r="B11" s="597" t="s">
        <v>485</v>
      </c>
      <c r="C11" s="597" t="s">
        <v>485</v>
      </c>
      <c r="D11" s="597">
        <f>SUM(D4:D10)</f>
        <v>2.7</v>
      </c>
      <c r="E11" s="598">
        <f>H11/D11</f>
        <v>77.859259259259261</v>
      </c>
      <c r="F11" s="598">
        <f>I11/D11</f>
        <v>138.51851851851862</v>
      </c>
      <c r="G11" s="599" t="s">
        <v>485</v>
      </c>
      <c r="H11" s="581">
        <f>SUM(H4:H10)</f>
        <v>210.22000000000003</v>
      </c>
      <c r="I11" s="581">
        <f>SUM(I4:I10)</f>
        <v>374.00000000000028</v>
      </c>
      <c r="J11" s="582"/>
      <c r="K11" s="575"/>
      <c r="L11" s="582"/>
      <c r="M11" s="582"/>
      <c r="N11" s="575"/>
      <c r="O11" s="575"/>
      <c r="P11" s="582"/>
      <c r="Q11" s="575"/>
      <c r="R11" s="575"/>
      <c r="S11" s="575"/>
      <c r="T11" s="576"/>
    </row>
    <row r="12" spans="1:20" x14ac:dyDescent="0.25">
      <c r="A12" s="600"/>
      <c r="B12" s="601"/>
      <c r="C12" s="601"/>
      <c r="D12" s="601"/>
      <c r="E12" s="602"/>
      <c r="F12" s="603"/>
      <c r="G12" s="604"/>
      <c r="H12" s="605"/>
      <c r="I12" s="563"/>
      <c r="J12" s="582"/>
      <c r="K12" s="575"/>
      <c r="L12" s="582"/>
      <c r="M12" s="582"/>
      <c r="N12" s="575"/>
      <c r="O12" s="575"/>
      <c r="P12" s="582"/>
      <c r="Q12" s="575"/>
      <c r="R12" s="575"/>
      <c r="S12" s="575"/>
      <c r="T12" s="576"/>
    </row>
    <row r="13" spans="1:20" x14ac:dyDescent="0.25">
      <c r="A13" s="566" t="s">
        <v>858</v>
      </c>
      <c r="B13" s="606"/>
      <c r="C13" s="606"/>
      <c r="D13" s="606"/>
      <c r="E13" s="607"/>
      <c r="F13" s="608"/>
      <c r="G13" s="609"/>
      <c r="H13" s="605"/>
      <c r="I13" s="563"/>
      <c r="J13" s="582"/>
      <c r="K13" s="575"/>
      <c r="L13" s="582"/>
      <c r="M13" s="582"/>
      <c r="N13" s="575"/>
      <c r="O13" s="575"/>
      <c r="P13" s="582"/>
      <c r="Q13" s="575"/>
      <c r="R13" s="575"/>
      <c r="S13" s="575"/>
      <c r="T13" s="576"/>
    </row>
    <row r="14" spans="1:20" x14ac:dyDescent="0.25">
      <c r="A14" s="571" t="s">
        <v>843</v>
      </c>
      <c r="B14" s="572" t="s">
        <v>844</v>
      </c>
      <c r="C14" s="572" t="s">
        <v>845</v>
      </c>
      <c r="D14" s="572" t="s">
        <v>846</v>
      </c>
      <c r="E14" s="572" t="s">
        <v>847</v>
      </c>
      <c r="F14" s="572" t="s">
        <v>848</v>
      </c>
      <c r="G14" s="573" t="s">
        <v>849</v>
      </c>
      <c r="H14" s="605"/>
      <c r="I14" s="563"/>
      <c r="J14" s="582"/>
      <c r="K14" s="575"/>
      <c r="L14" s="582"/>
      <c r="M14" s="582"/>
      <c r="N14" s="575"/>
      <c r="O14" s="575"/>
      <c r="P14" s="582"/>
      <c r="Q14" s="575"/>
      <c r="R14" s="575"/>
      <c r="S14" s="575"/>
      <c r="T14" s="576"/>
    </row>
    <row r="15" spans="1:20" x14ac:dyDescent="0.25">
      <c r="A15" s="577" t="s">
        <v>859</v>
      </c>
      <c r="B15" s="578">
        <v>3.4</v>
      </c>
      <c r="C15" s="578">
        <v>4.62</v>
      </c>
      <c r="D15" s="578">
        <f>C15-B15</f>
        <v>1.2200000000000002</v>
      </c>
      <c r="E15" s="579">
        <v>96</v>
      </c>
      <c r="F15" s="579">
        <v>40.229508196721298</v>
      </c>
      <c r="G15" s="580" t="s">
        <v>855</v>
      </c>
      <c r="H15" s="581">
        <f>D15*E15</f>
        <v>117.12000000000002</v>
      </c>
      <c r="I15" s="581">
        <f>D15*F15</f>
        <v>49.079999999999991</v>
      </c>
      <c r="J15" s="582"/>
      <c r="K15" s="575"/>
      <c r="L15" s="582"/>
      <c r="M15" s="582"/>
      <c r="N15" s="575"/>
      <c r="O15" s="575"/>
      <c r="P15" s="583"/>
      <c r="Q15" s="575"/>
      <c r="R15" s="575"/>
      <c r="S15" s="575"/>
      <c r="T15" s="576"/>
    </row>
    <row r="16" spans="1:20" x14ac:dyDescent="0.25">
      <c r="A16" s="577" t="s">
        <v>860</v>
      </c>
      <c r="B16" s="578">
        <v>4.62</v>
      </c>
      <c r="C16" s="578">
        <v>5.12</v>
      </c>
      <c r="D16" s="578">
        <f t="shared" ref="D16:D26" si="3">C16-B16</f>
        <v>0.5</v>
      </c>
      <c r="E16" s="579">
        <v>94</v>
      </c>
      <c r="F16" s="579">
        <v>52.38</v>
      </c>
      <c r="G16" s="580" t="s">
        <v>855</v>
      </c>
      <c r="H16" s="581">
        <f t="shared" ref="H16:H26" si="4">D16*E16</f>
        <v>47</v>
      </c>
      <c r="I16" s="581">
        <f t="shared" ref="I16:I26" si="5">D16*F16</f>
        <v>26.19</v>
      </c>
      <c r="J16" s="582"/>
      <c r="K16" s="575"/>
      <c r="L16" s="582"/>
      <c r="M16" s="582"/>
      <c r="N16" s="575"/>
      <c r="O16" s="575"/>
      <c r="P16" s="583"/>
      <c r="Q16" s="575"/>
      <c r="R16" s="575"/>
      <c r="S16" s="575"/>
      <c r="T16" s="576"/>
    </row>
    <row r="17" spans="1:20" x14ac:dyDescent="0.25">
      <c r="A17" s="577" t="s">
        <v>861</v>
      </c>
      <c r="B17" s="578">
        <v>5.12</v>
      </c>
      <c r="C17" s="578">
        <v>7.7</v>
      </c>
      <c r="D17" s="578">
        <f t="shared" si="3"/>
        <v>2.58</v>
      </c>
      <c r="E17" s="579">
        <v>97</v>
      </c>
      <c r="F17" s="579">
        <v>46.972868217054298</v>
      </c>
      <c r="G17" s="580" t="s">
        <v>855</v>
      </c>
      <c r="H17" s="581">
        <f t="shared" si="4"/>
        <v>250.26000000000002</v>
      </c>
      <c r="I17" s="581">
        <f t="shared" si="5"/>
        <v>121.1900000000001</v>
      </c>
      <c r="J17" s="582"/>
      <c r="K17" s="575"/>
      <c r="L17" s="582"/>
      <c r="M17" s="582"/>
      <c r="N17" s="575"/>
      <c r="O17" s="575"/>
      <c r="P17" s="583"/>
      <c r="Q17" s="575"/>
      <c r="R17" s="575"/>
      <c r="S17" s="575"/>
      <c r="T17" s="576"/>
    </row>
    <row r="18" spans="1:20" x14ac:dyDescent="0.25">
      <c r="A18" s="577" t="s">
        <v>862</v>
      </c>
      <c r="B18" s="578">
        <v>7.7</v>
      </c>
      <c r="C18" s="578">
        <v>9.06</v>
      </c>
      <c r="D18" s="578">
        <f t="shared" si="3"/>
        <v>1.3600000000000003</v>
      </c>
      <c r="E18" s="579">
        <v>97</v>
      </c>
      <c r="F18" s="579">
        <v>47.639705882352899</v>
      </c>
      <c r="G18" s="580" t="s">
        <v>855</v>
      </c>
      <c r="H18" s="581">
        <f t="shared" si="4"/>
        <v>131.92000000000004</v>
      </c>
      <c r="I18" s="581">
        <f t="shared" si="5"/>
        <v>64.789999999999964</v>
      </c>
      <c r="J18" s="582"/>
      <c r="K18" s="575"/>
      <c r="L18" s="582"/>
      <c r="M18" s="582"/>
      <c r="N18" s="575"/>
      <c r="O18" s="575"/>
      <c r="P18" s="583"/>
      <c r="Q18" s="575"/>
      <c r="R18" s="575"/>
      <c r="S18" s="575"/>
      <c r="T18" s="576"/>
    </row>
    <row r="19" spans="1:20" x14ac:dyDescent="0.25">
      <c r="A19" s="577" t="s">
        <v>863</v>
      </c>
      <c r="B19" s="578">
        <v>9.06</v>
      </c>
      <c r="C19" s="578">
        <v>9.6</v>
      </c>
      <c r="D19" s="578">
        <f t="shared" si="3"/>
        <v>0.53999999999999915</v>
      </c>
      <c r="E19" s="579">
        <v>98</v>
      </c>
      <c r="F19" s="579">
        <v>42.462962962962997</v>
      </c>
      <c r="G19" s="580" t="s">
        <v>855</v>
      </c>
      <c r="H19" s="581">
        <f t="shared" si="4"/>
        <v>52.919999999999916</v>
      </c>
      <c r="I19" s="581">
        <f t="shared" si="5"/>
        <v>22.929999999999982</v>
      </c>
      <c r="J19" s="582"/>
      <c r="K19" s="575"/>
      <c r="L19" s="582"/>
      <c r="M19" s="582"/>
      <c r="N19" s="575"/>
      <c r="O19" s="575"/>
      <c r="P19" s="583"/>
      <c r="Q19" s="575"/>
      <c r="R19" s="575"/>
      <c r="S19" s="575"/>
      <c r="T19" s="576"/>
    </row>
    <row r="20" spans="1:20" x14ac:dyDescent="0.25">
      <c r="A20" s="577" t="s">
        <v>864</v>
      </c>
      <c r="B20" s="578">
        <v>9.6</v>
      </c>
      <c r="C20" s="578">
        <v>9.67</v>
      </c>
      <c r="D20" s="578">
        <f t="shared" si="3"/>
        <v>7.0000000000000284E-2</v>
      </c>
      <c r="E20" s="579">
        <v>98</v>
      </c>
      <c r="F20" s="579">
        <v>46.571428571428598</v>
      </c>
      <c r="G20" s="580" t="s">
        <v>855</v>
      </c>
      <c r="H20" s="581">
        <f t="shared" si="4"/>
        <v>6.8600000000000279</v>
      </c>
      <c r="I20" s="581">
        <f t="shared" si="5"/>
        <v>3.2600000000000149</v>
      </c>
      <c r="J20" s="582"/>
      <c r="K20" s="575"/>
      <c r="L20" s="582"/>
      <c r="M20" s="582"/>
      <c r="N20" s="575"/>
      <c r="O20" s="575"/>
      <c r="P20" s="583"/>
      <c r="Q20" s="575"/>
      <c r="R20" s="575"/>
      <c r="S20" s="575"/>
      <c r="T20" s="576"/>
    </row>
    <row r="21" spans="1:20" x14ac:dyDescent="0.25">
      <c r="A21" s="577" t="s">
        <v>865</v>
      </c>
      <c r="B21" s="578">
        <v>9.67</v>
      </c>
      <c r="C21" s="578">
        <v>10.209999999999999</v>
      </c>
      <c r="D21" s="578">
        <f t="shared" si="3"/>
        <v>0.53999999999999915</v>
      </c>
      <c r="E21" s="579">
        <v>95</v>
      </c>
      <c r="F21" s="579">
        <v>48.462962962962997</v>
      </c>
      <c r="G21" s="580" t="s">
        <v>855</v>
      </c>
      <c r="H21" s="581">
        <f t="shared" si="4"/>
        <v>51.299999999999919</v>
      </c>
      <c r="I21" s="581">
        <f t="shared" si="5"/>
        <v>26.169999999999977</v>
      </c>
      <c r="J21" s="582"/>
      <c r="K21" s="575"/>
      <c r="L21" s="582"/>
      <c r="M21" s="582"/>
      <c r="N21" s="575"/>
      <c r="O21" s="575"/>
      <c r="P21" s="583"/>
      <c r="Q21" s="575"/>
      <c r="R21" s="575"/>
      <c r="S21" s="575"/>
      <c r="T21" s="576"/>
    </row>
    <row r="22" spans="1:20" x14ac:dyDescent="0.25">
      <c r="A22" s="577" t="s">
        <v>866</v>
      </c>
      <c r="B22" s="578">
        <v>10.210000000000001</v>
      </c>
      <c r="C22" s="578">
        <v>10.77</v>
      </c>
      <c r="D22" s="578">
        <f t="shared" si="3"/>
        <v>0.55999999999999872</v>
      </c>
      <c r="E22" s="579">
        <v>95</v>
      </c>
      <c r="F22" s="579">
        <v>50.357142857142897</v>
      </c>
      <c r="G22" s="580" t="s">
        <v>855</v>
      </c>
      <c r="H22" s="581">
        <f t="shared" si="4"/>
        <v>53.199999999999875</v>
      </c>
      <c r="I22" s="581">
        <f t="shared" si="5"/>
        <v>28.199999999999957</v>
      </c>
      <c r="J22" s="582"/>
      <c r="K22" s="575"/>
      <c r="L22" s="582"/>
      <c r="M22" s="582"/>
      <c r="N22" s="575"/>
      <c r="O22" s="575"/>
      <c r="P22" s="583"/>
      <c r="Q22" s="575"/>
      <c r="R22" s="575"/>
      <c r="S22" s="575"/>
      <c r="T22" s="576"/>
    </row>
    <row r="23" spans="1:20" x14ac:dyDescent="0.25">
      <c r="A23" s="577" t="s">
        <v>867</v>
      </c>
      <c r="B23" s="578">
        <v>10.77</v>
      </c>
      <c r="C23" s="578">
        <v>10.87</v>
      </c>
      <c r="D23" s="578">
        <f t="shared" si="3"/>
        <v>9.9999999999999645E-2</v>
      </c>
      <c r="E23" s="579">
        <v>98</v>
      </c>
      <c r="F23" s="579">
        <v>40.299999999999997</v>
      </c>
      <c r="G23" s="580" t="s">
        <v>855</v>
      </c>
      <c r="H23" s="581">
        <f t="shared" si="4"/>
        <v>9.7999999999999652</v>
      </c>
      <c r="I23" s="581">
        <f t="shared" si="5"/>
        <v>4.0299999999999851</v>
      </c>
      <c r="J23" s="582"/>
      <c r="K23" s="575"/>
      <c r="L23" s="582"/>
      <c r="M23" s="582"/>
      <c r="N23" s="575"/>
      <c r="O23" s="575"/>
      <c r="P23" s="583"/>
      <c r="Q23" s="575"/>
      <c r="R23" s="575"/>
      <c r="S23" s="575"/>
      <c r="T23" s="576"/>
    </row>
    <row r="24" spans="1:20" x14ac:dyDescent="0.25">
      <c r="A24" s="577" t="s">
        <v>868</v>
      </c>
      <c r="B24" s="578">
        <v>10.87</v>
      </c>
      <c r="C24" s="578">
        <v>11.23</v>
      </c>
      <c r="D24" s="578">
        <f t="shared" si="3"/>
        <v>0.36000000000000121</v>
      </c>
      <c r="E24" s="579">
        <v>86</v>
      </c>
      <c r="F24" s="579">
        <v>118.5</v>
      </c>
      <c r="G24" s="580" t="s">
        <v>855</v>
      </c>
      <c r="H24" s="581">
        <f t="shared" si="4"/>
        <v>30.960000000000104</v>
      </c>
      <c r="I24" s="581">
        <f t="shared" si="5"/>
        <v>42.660000000000146</v>
      </c>
      <c r="J24" s="582"/>
      <c r="K24" s="575"/>
      <c r="L24" s="582"/>
      <c r="M24" s="582"/>
      <c r="N24" s="575"/>
      <c r="O24" s="575"/>
      <c r="P24" s="583"/>
      <c r="Q24" s="575"/>
      <c r="R24" s="575"/>
      <c r="S24" s="575"/>
      <c r="T24" s="576"/>
    </row>
    <row r="25" spans="1:20" x14ac:dyDescent="0.25">
      <c r="A25" s="577" t="s">
        <v>869</v>
      </c>
      <c r="B25" s="578">
        <v>0</v>
      </c>
      <c r="C25" s="578">
        <v>0.24000000000000002</v>
      </c>
      <c r="D25" s="578">
        <f t="shared" si="3"/>
        <v>0.24000000000000002</v>
      </c>
      <c r="E25" s="579">
        <v>87</v>
      </c>
      <c r="F25" s="579">
        <v>130.291666666667</v>
      </c>
      <c r="G25" s="580" t="s">
        <v>857</v>
      </c>
      <c r="H25" s="581">
        <f t="shared" si="4"/>
        <v>20.880000000000003</v>
      </c>
      <c r="I25" s="581">
        <f t="shared" si="5"/>
        <v>31.270000000000081</v>
      </c>
      <c r="J25" s="582"/>
      <c r="K25" s="575"/>
      <c r="L25" s="582"/>
      <c r="M25" s="582"/>
      <c r="N25" s="575"/>
      <c r="O25" s="575"/>
      <c r="P25" s="583"/>
      <c r="Q25" s="575"/>
      <c r="R25" s="575"/>
      <c r="S25" s="575"/>
      <c r="T25" s="576"/>
    </row>
    <row r="26" spans="1:20" x14ac:dyDescent="0.25">
      <c r="A26" s="592" t="s">
        <v>870</v>
      </c>
      <c r="B26" s="593">
        <v>0.24</v>
      </c>
      <c r="C26" s="593">
        <v>0.5</v>
      </c>
      <c r="D26" s="593">
        <f t="shared" si="3"/>
        <v>0.26</v>
      </c>
      <c r="E26" s="594">
        <v>68</v>
      </c>
      <c r="F26" s="594">
        <v>152.269230769231</v>
      </c>
      <c r="G26" s="595" t="s">
        <v>857</v>
      </c>
      <c r="H26" s="581">
        <f t="shared" si="4"/>
        <v>17.68</v>
      </c>
      <c r="I26" s="581">
        <f t="shared" si="5"/>
        <v>39.59000000000006</v>
      </c>
      <c r="J26" s="582"/>
      <c r="K26" s="575"/>
      <c r="L26" s="582"/>
      <c r="M26" s="582"/>
      <c r="N26" s="575"/>
      <c r="O26" s="575"/>
      <c r="P26" s="583"/>
      <c r="Q26" s="575"/>
      <c r="R26" s="575"/>
      <c r="S26" s="575"/>
      <c r="T26" s="576"/>
    </row>
    <row r="27" spans="1:20" x14ac:dyDescent="0.25">
      <c r="A27" s="610" t="s">
        <v>485</v>
      </c>
      <c r="B27" s="611" t="s">
        <v>485</v>
      </c>
      <c r="C27" s="611" t="s">
        <v>485</v>
      </c>
      <c r="D27" s="611">
        <f>SUM(D15:D26)</f>
        <v>8.3299999999999983</v>
      </c>
      <c r="E27" s="612">
        <f>H27/D27</f>
        <v>94.825930372148875</v>
      </c>
      <c r="F27" s="612">
        <f>I27/D27</f>
        <v>55.145258103241339</v>
      </c>
      <c r="G27" s="613" t="s">
        <v>485</v>
      </c>
      <c r="H27" s="581">
        <f>SUM(H15:H26)</f>
        <v>789.9</v>
      </c>
      <c r="I27" s="581">
        <f>SUM(I15:I26)</f>
        <v>459.36000000000024</v>
      </c>
      <c r="J27" s="582"/>
      <c r="K27" s="575"/>
      <c r="L27" s="582"/>
      <c r="M27" s="582"/>
      <c r="N27" s="575"/>
      <c r="O27" s="575"/>
      <c r="P27" s="582"/>
      <c r="Q27" s="575"/>
      <c r="R27" s="575"/>
      <c r="S27" s="575"/>
      <c r="T27" s="576"/>
    </row>
    <row r="28" spans="1:20" x14ac:dyDescent="0.25">
      <c r="A28" s="614"/>
      <c r="B28" s="615"/>
      <c r="C28" s="615"/>
      <c r="D28" s="615"/>
      <c r="E28" s="582"/>
      <c r="F28" s="575"/>
      <c r="G28" s="616"/>
      <c r="H28" s="617"/>
      <c r="J28" s="582"/>
      <c r="K28" s="575"/>
      <c r="L28" s="582"/>
      <c r="M28" s="582"/>
      <c r="N28" s="575"/>
      <c r="O28" s="575"/>
      <c r="P28" s="582"/>
      <c r="Q28" s="575"/>
      <c r="R28" s="575"/>
      <c r="S28" s="575"/>
      <c r="T28" s="576"/>
    </row>
    <row r="29" spans="1:20" x14ac:dyDescent="0.25">
      <c r="A29" s="566" t="s">
        <v>871</v>
      </c>
      <c r="B29" s="606"/>
      <c r="C29" s="606"/>
      <c r="D29" s="618"/>
      <c r="E29" s="607"/>
      <c r="F29" s="608"/>
      <c r="G29" s="609"/>
      <c r="H29" s="617"/>
      <c r="J29" s="582"/>
      <c r="K29" s="575"/>
      <c r="L29" s="582"/>
      <c r="M29" s="582"/>
      <c r="N29" s="575"/>
      <c r="O29" s="575"/>
      <c r="P29" s="582"/>
      <c r="Q29" s="575"/>
      <c r="R29" s="575"/>
      <c r="S29" s="575"/>
      <c r="T29" s="576"/>
    </row>
    <row r="30" spans="1:20" x14ac:dyDescent="0.25">
      <c r="A30" s="571" t="s">
        <v>843</v>
      </c>
      <c r="B30" s="572" t="s">
        <v>844</v>
      </c>
      <c r="C30" s="572" t="s">
        <v>845</v>
      </c>
      <c r="D30" s="572" t="s">
        <v>846</v>
      </c>
      <c r="E30" s="572" t="s">
        <v>847</v>
      </c>
      <c r="F30" s="572" t="s">
        <v>848</v>
      </c>
      <c r="G30" s="573" t="s">
        <v>849</v>
      </c>
      <c r="H30" s="617"/>
      <c r="J30" s="582"/>
      <c r="K30" s="575"/>
      <c r="L30" s="582"/>
      <c r="M30" s="582"/>
      <c r="N30" s="575"/>
      <c r="O30" s="575"/>
      <c r="P30" s="582"/>
      <c r="Q30" s="575"/>
      <c r="R30" s="575"/>
      <c r="S30" s="575"/>
      <c r="T30" s="576"/>
    </row>
    <row r="31" spans="1:20" x14ac:dyDescent="0.25">
      <c r="A31" s="577">
        <v>5568</v>
      </c>
      <c r="B31" s="578">
        <v>5.97</v>
      </c>
      <c r="C31" s="578">
        <v>6.55</v>
      </c>
      <c r="D31" s="578">
        <f>C31-B31</f>
        <v>0.58000000000000007</v>
      </c>
      <c r="E31" s="579">
        <v>92</v>
      </c>
      <c r="F31" s="579">
        <v>80</v>
      </c>
      <c r="G31" s="580" t="s">
        <v>855</v>
      </c>
      <c r="H31" s="581">
        <f t="shared" ref="H31:H34" si="6">D31*E31</f>
        <v>53.360000000000007</v>
      </c>
      <c r="I31" s="581">
        <f>D31*F31</f>
        <v>46.400000000000006</v>
      </c>
      <c r="J31" s="582"/>
      <c r="K31" s="575"/>
      <c r="L31" s="582"/>
      <c r="M31" s="582"/>
      <c r="N31" s="575"/>
      <c r="O31" s="575"/>
      <c r="P31" s="583"/>
      <c r="Q31" s="575"/>
      <c r="R31" s="575"/>
      <c r="S31" s="575"/>
      <c r="T31" s="576"/>
    </row>
    <row r="32" spans="1:20" x14ac:dyDescent="0.25">
      <c r="A32" s="577" t="s">
        <v>872</v>
      </c>
      <c r="B32" s="578">
        <v>6.55</v>
      </c>
      <c r="C32" s="578">
        <v>8.73</v>
      </c>
      <c r="D32" s="578">
        <f>C32-B32</f>
        <v>2.1800000000000006</v>
      </c>
      <c r="E32" s="579">
        <v>87</v>
      </c>
      <c r="F32" s="579">
        <v>98</v>
      </c>
      <c r="G32" s="580" t="s">
        <v>855</v>
      </c>
      <c r="H32" s="581">
        <f t="shared" si="6"/>
        <v>189.66000000000005</v>
      </c>
      <c r="I32" s="581">
        <f>D32*F32</f>
        <v>213.64000000000007</v>
      </c>
      <c r="J32" s="582"/>
      <c r="K32" s="575"/>
      <c r="L32" s="582"/>
      <c r="M32" s="582"/>
      <c r="N32" s="575"/>
      <c r="O32" s="575"/>
      <c r="P32" s="583"/>
      <c r="Q32" s="575"/>
      <c r="R32" s="575"/>
      <c r="S32" s="575"/>
      <c r="T32" s="576"/>
    </row>
    <row r="33" spans="1:20" x14ac:dyDescent="0.25">
      <c r="A33" s="577" t="s">
        <v>873</v>
      </c>
      <c r="B33" s="578">
        <v>8.73</v>
      </c>
      <c r="C33" s="578">
        <v>9.379999999999999</v>
      </c>
      <c r="D33" s="578">
        <f>C33-B33</f>
        <v>0.64999999999999858</v>
      </c>
      <c r="E33" s="579">
        <v>83</v>
      </c>
      <c r="F33" s="579">
        <v>113</v>
      </c>
      <c r="G33" s="580" t="s">
        <v>855</v>
      </c>
      <c r="H33" s="581">
        <f t="shared" si="6"/>
        <v>53.949999999999882</v>
      </c>
      <c r="I33" s="581">
        <f t="shared" ref="I33:I34" si="7">D33*F33</f>
        <v>73.449999999999847</v>
      </c>
      <c r="J33" s="582"/>
      <c r="K33" s="575"/>
      <c r="L33" s="582"/>
      <c r="M33" s="582"/>
      <c r="N33" s="575"/>
      <c r="O33" s="575"/>
      <c r="P33" s="583"/>
      <c r="Q33" s="575"/>
      <c r="R33" s="575"/>
      <c r="S33" s="575"/>
      <c r="T33" s="576"/>
    </row>
    <row r="34" spans="1:20" x14ac:dyDescent="0.25">
      <c r="A34" s="592" t="s">
        <v>874</v>
      </c>
      <c r="B34" s="593">
        <v>9.3800000000000008</v>
      </c>
      <c r="C34" s="593">
        <v>11.82</v>
      </c>
      <c r="D34" s="593">
        <f>C34-B34</f>
        <v>2.4399999999999995</v>
      </c>
      <c r="E34" s="594">
        <v>85</v>
      </c>
      <c r="F34" s="594">
        <v>109</v>
      </c>
      <c r="G34" s="595" t="s">
        <v>855</v>
      </c>
      <c r="H34" s="581">
        <f t="shared" si="6"/>
        <v>207.39999999999995</v>
      </c>
      <c r="I34" s="581">
        <f t="shared" si="7"/>
        <v>265.95999999999992</v>
      </c>
      <c r="J34" s="582"/>
      <c r="K34" s="575"/>
      <c r="L34" s="582"/>
      <c r="M34" s="582"/>
      <c r="N34" s="575"/>
      <c r="O34" s="575"/>
      <c r="P34" s="583"/>
      <c r="Q34" s="575"/>
      <c r="R34" s="575"/>
      <c r="S34" s="575"/>
      <c r="T34" s="576"/>
    </row>
    <row r="35" spans="1:20" x14ac:dyDescent="0.25">
      <c r="A35" s="619"/>
      <c r="B35" s="620"/>
      <c r="C35" s="620"/>
      <c r="D35" s="620">
        <f>SUM(D31:D34)</f>
        <v>5.8499999999999988</v>
      </c>
      <c r="E35" s="621">
        <f>H35/D35</f>
        <v>86.217094017094013</v>
      </c>
      <c r="F35" s="621">
        <f>I35/D35</f>
        <v>102.47008547008546</v>
      </c>
      <c r="G35" s="622" t="s">
        <v>485</v>
      </c>
      <c r="H35" s="581">
        <f>SUM(H31:H34)</f>
        <v>504.36999999999989</v>
      </c>
      <c r="I35" s="581">
        <f>SUM(I31:I34)</f>
        <v>599.44999999999982</v>
      </c>
      <c r="J35" s="575"/>
      <c r="K35" s="575"/>
      <c r="L35" s="582"/>
      <c r="M35" s="575"/>
      <c r="N35" s="575"/>
      <c r="O35" s="575"/>
      <c r="P35" s="575"/>
      <c r="Q35" s="575"/>
      <c r="R35" s="575"/>
      <c r="S35" s="575"/>
      <c r="T35" s="576"/>
    </row>
    <row r="36" spans="1:20" ht="15.75" thickBot="1" x14ac:dyDescent="0.3">
      <c r="A36" s="623"/>
      <c r="B36" s="624"/>
      <c r="C36" s="624"/>
      <c r="D36" s="624"/>
      <c r="E36" s="624"/>
      <c r="F36" s="624"/>
      <c r="G36" s="625"/>
      <c r="J36" s="575"/>
      <c r="K36" s="575"/>
      <c r="L36" s="582"/>
      <c r="M36" s="575"/>
      <c r="N36" s="575"/>
      <c r="O36" s="575"/>
      <c r="P36" s="575"/>
      <c r="Q36" s="575"/>
      <c r="R36" s="575"/>
      <c r="S36" s="575"/>
      <c r="T36" s="576"/>
    </row>
    <row r="37" spans="1:20" x14ac:dyDescent="0.25">
      <c r="J37" s="575"/>
      <c r="K37" s="575"/>
      <c r="L37" s="582"/>
      <c r="M37" s="575"/>
      <c r="N37" s="575"/>
      <c r="O37" s="575"/>
      <c r="P37" s="575"/>
      <c r="Q37" s="575"/>
      <c r="R37" s="575"/>
      <c r="S37" s="575"/>
      <c r="T37" s="576"/>
    </row>
    <row r="38" spans="1:20" ht="15.75" x14ac:dyDescent="0.25">
      <c r="A38" s="978" t="s">
        <v>875</v>
      </c>
      <c r="B38" s="978"/>
      <c r="D38" s="978" t="s">
        <v>876</v>
      </c>
      <c r="E38" s="978"/>
      <c r="J38" s="575"/>
      <c r="K38" s="575"/>
      <c r="L38" s="626"/>
      <c r="M38" s="626"/>
      <c r="N38" s="575"/>
      <c r="O38" s="575"/>
      <c r="P38" s="626"/>
      <c r="Q38" s="575"/>
      <c r="R38" s="575"/>
      <c r="S38" s="575"/>
      <c r="T38" s="576"/>
    </row>
    <row r="39" spans="1:20" ht="15.75" x14ac:dyDescent="0.25">
      <c r="A39" s="627" t="s">
        <v>877</v>
      </c>
      <c r="B39" s="628" t="s">
        <v>878</v>
      </c>
      <c r="D39" s="627" t="s">
        <v>877</v>
      </c>
      <c r="E39" s="628" t="s">
        <v>879</v>
      </c>
      <c r="J39" s="575"/>
      <c r="K39" s="575"/>
      <c r="L39" s="629"/>
      <c r="M39" s="630"/>
      <c r="N39" s="575"/>
      <c r="O39" s="575"/>
      <c r="P39" s="630"/>
      <c r="Q39" s="575"/>
      <c r="R39" s="575"/>
      <c r="S39" s="575"/>
      <c r="T39" s="576"/>
    </row>
    <row r="40" spans="1:20" ht="15.75" x14ac:dyDescent="0.25">
      <c r="A40" s="627" t="s">
        <v>880</v>
      </c>
      <c r="B40" s="628" t="s">
        <v>881</v>
      </c>
      <c r="D40" s="627" t="s">
        <v>880</v>
      </c>
      <c r="E40" s="628" t="s">
        <v>882</v>
      </c>
      <c r="J40" s="575"/>
      <c r="K40" s="575"/>
      <c r="L40" s="629"/>
      <c r="M40" s="630"/>
      <c r="N40" s="575"/>
      <c r="O40" s="575"/>
      <c r="P40" s="630"/>
      <c r="Q40" s="575"/>
      <c r="R40" s="575"/>
      <c r="S40" s="575"/>
      <c r="T40" s="576"/>
    </row>
    <row r="41" spans="1:20" ht="15.75" x14ac:dyDescent="0.25">
      <c r="A41" s="627" t="s">
        <v>883</v>
      </c>
      <c r="B41" s="628" t="s">
        <v>884</v>
      </c>
      <c r="D41" s="627" t="s">
        <v>883</v>
      </c>
      <c r="E41" s="628" t="s">
        <v>885</v>
      </c>
      <c r="J41" s="575"/>
      <c r="K41" s="575"/>
      <c r="L41" s="629"/>
      <c r="M41" s="630"/>
      <c r="N41" s="575"/>
      <c r="O41" s="575"/>
      <c r="P41" s="630"/>
      <c r="Q41" s="575"/>
      <c r="R41" s="575"/>
      <c r="S41" s="575"/>
      <c r="T41" s="576"/>
    </row>
    <row r="42" spans="1:20" ht="15.75" x14ac:dyDescent="0.25">
      <c r="J42" s="575"/>
      <c r="K42" s="575"/>
      <c r="L42" s="629"/>
      <c r="M42" s="630"/>
      <c r="N42" s="575"/>
      <c r="O42" s="575"/>
      <c r="P42" s="630"/>
      <c r="Q42" s="575"/>
      <c r="R42" s="575"/>
      <c r="S42" s="575"/>
      <c r="T42" s="576"/>
    </row>
    <row r="47" spans="1:20" ht="15.75" thickBot="1" x14ac:dyDescent="0.3"/>
    <row r="48" spans="1:20" ht="15.75" x14ac:dyDescent="0.25">
      <c r="A48" s="975" t="s">
        <v>841</v>
      </c>
      <c r="B48" s="976"/>
      <c r="C48" s="976"/>
      <c r="D48" s="976"/>
      <c r="E48" s="976"/>
      <c r="F48" s="976"/>
      <c r="G48" s="977"/>
    </row>
    <row r="49" spans="1:20" x14ac:dyDescent="0.25">
      <c r="A49" s="566" t="s">
        <v>842</v>
      </c>
      <c r="B49" s="567"/>
      <c r="C49" s="568"/>
      <c r="D49" s="568"/>
      <c r="E49" s="567"/>
      <c r="F49" s="567"/>
      <c r="G49" s="569"/>
      <c r="J49" s="979" t="s">
        <v>886</v>
      </c>
      <c r="K49" s="981" t="s">
        <v>887</v>
      </c>
      <c r="L49" s="981" t="s">
        <v>888</v>
      </c>
      <c r="M49" s="981" t="s">
        <v>889</v>
      </c>
      <c r="N49" s="981" t="s">
        <v>890</v>
      </c>
      <c r="O49" s="981" t="s">
        <v>891</v>
      </c>
      <c r="P49" s="981" t="s">
        <v>892</v>
      </c>
      <c r="Q49" s="981" t="s">
        <v>893</v>
      </c>
      <c r="R49" s="981" t="s">
        <v>894</v>
      </c>
      <c r="S49" s="981" t="s">
        <v>895</v>
      </c>
      <c r="T49" s="981" t="s">
        <v>896</v>
      </c>
    </row>
    <row r="50" spans="1:20" x14ac:dyDescent="0.25">
      <c r="A50" s="571" t="s">
        <v>843</v>
      </c>
      <c r="B50" s="572" t="s">
        <v>844</v>
      </c>
      <c r="C50" s="572" t="s">
        <v>845</v>
      </c>
      <c r="D50" s="572" t="s">
        <v>846</v>
      </c>
      <c r="E50" s="572" t="s">
        <v>847</v>
      </c>
      <c r="F50" s="572" t="s">
        <v>848</v>
      </c>
      <c r="G50" s="573" t="s">
        <v>849</v>
      </c>
      <c r="J50" s="980"/>
      <c r="K50" s="982"/>
      <c r="L50" s="982"/>
      <c r="M50" s="982"/>
      <c r="N50" s="982"/>
      <c r="O50" s="982"/>
      <c r="P50" s="982"/>
      <c r="Q50" s="982"/>
      <c r="R50" s="982"/>
      <c r="S50" s="982"/>
      <c r="T50" s="982"/>
    </row>
    <row r="51" spans="1:20" x14ac:dyDescent="0.25">
      <c r="A51" s="577" t="s">
        <v>850</v>
      </c>
      <c r="B51" s="578">
        <v>0</v>
      </c>
      <c r="C51" s="578">
        <v>0.12</v>
      </c>
      <c r="D51" s="578">
        <f>C51-B51</f>
        <v>0.12</v>
      </c>
      <c r="E51" s="579">
        <v>87</v>
      </c>
      <c r="F51" s="579">
        <v>126.666666666667</v>
      </c>
      <c r="G51" s="580" t="s">
        <v>851</v>
      </c>
      <c r="H51" s="581">
        <f>D51*E51</f>
        <v>10.44</v>
      </c>
      <c r="I51" s="581">
        <f>D51*F51</f>
        <v>15.200000000000038</v>
      </c>
      <c r="J51" s="983">
        <f>SQRT(ABS((E54-100)/-0.023))</f>
        <v>28.110498715359448</v>
      </c>
      <c r="K51" s="985">
        <v>100</v>
      </c>
      <c r="L51" s="987">
        <f t="shared" ref="L51" si="8">MAX((100-0.023*(25)^2),0)</f>
        <v>85.625</v>
      </c>
      <c r="M51" s="987">
        <f>MAX((100-0.023*(J51+6)^2),0)</f>
        <v>73.238899179957613</v>
      </c>
      <c r="N51" s="985" t="s">
        <v>897</v>
      </c>
      <c r="O51" s="987">
        <f>J51+6-15</f>
        <v>19.110498715359448</v>
      </c>
      <c r="P51" s="987">
        <f>MAX((100-0.023*(J51+6-15)^2),0)</f>
        <v>91.600143293555632</v>
      </c>
      <c r="Q51" s="992">
        <f>'[2]Treatment Ranges &amp; Ages'!$C$23</f>
        <v>168777.54608960683</v>
      </c>
      <c r="R51" s="992">
        <f>3*'[2]Treatment Ranges &amp; Ages'!$C$9</f>
        <v>51610.035900266805</v>
      </c>
      <c r="S51" s="987">
        <f>MAX((100-0.023*(O51+25-15)^2),0)</f>
        <v>80.509313884490282</v>
      </c>
      <c r="T51" s="994" t="s">
        <v>898</v>
      </c>
    </row>
    <row r="52" spans="1:20" x14ac:dyDescent="0.25">
      <c r="A52" s="577" t="s">
        <v>852</v>
      </c>
      <c r="B52" s="578">
        <v>0.12</v>
      </c>
      <c r="C52" s="578">
        <v>0.38</v>
      </c>
      <c r="D52" s="578">
        <f t="shared" ref="D52:D61" si="9">C52-B52</f>
        <v>0.26</v>
      </c>
      <c r="E52" s="579">
        <v>86</v>
      </c>
      <c r="F52" s="579">
        <v>135</v>
      </c>
      <c r="G52" s="580" t="s">
        <v>851</v>
      </c>
      <c r="H52" s="581">
        <f t="shared" ref="H52:H53" si="10">D52*E52</f>
        <v>22.36</v>
      </c>
      <c r="I52" s="581">
        <f t="shared" ref="I52:I53" si="11">D52*F52</f>
        <v>35.1</v>
      </c>
      <c r="J52" s="984"/>
      <c r="K52" s="986"/>
      <c r="L52" s="988"/>
      <c r="M52" s="988"/>
      <c r="N52" s="986"/>
      <c r="O52" s="988"/>
      <c r="P52" s="988"/>
      <c r="Q52" s="993"/>
      <c r="R52" s="993"/>
      <c r="S52" s="988"/>
      <c r="T52" s="995"/>
    </row>
    <row r="53" spans="1:20" x14ac:dyDescent="0.25">
      <c r="A53" s="592" t="s">
        <v>853</v>
      </c>
      <c r="B53" s="631">
        <v>0.38</v>
      </c>
      <c r="C53" s="631">
        <v>0.63</v>
      </c>
      <c r="D53" s="631">
        <f t="shared" si="9"/>
        <v>0.25</v>
      </c>
      <c r="E53" s="632">
        <v>75</v>
      </c>
      <c r="F53" s="632">
        <v>183</v>
      </c>
      <c r="G53" s="633" t="s">
        <v>851</v>
      </c>
      <c r="H53" s="581">
        <f t="shared" si="10"/>
        <v>18.75</v>
      </c>
      <c r="I53" s="581">
        <f t="shared" si="11"/>
        <v>45.75</v>
      </c>
      <c r="J53" s="984"/>
      <c r="K53" s="986"/>
      <c r="L53" s="988"/>
      <c r="M53" s="988"/>
      <c r="N53" s="986"/>
      <c r="O53" s="988"/>
      <c r="P53" s="988"/>
      <c r="Q53" s="993"/>
      <c r="R53" s="993"/>
      <c r="S53" s="988"/>
      <c r="T53" s="995"/>
    </row>
    <row r="54" spans="1:20" x14ac:dyDescent="0.25">
      <c r="A54" s="610"/>
      <c r="B54" s="611"/>
      <c r="C54" s="611"/>
      <c r="D54" s="611">
        <f>SUM(D51:D53)</f>
        <v>0.63</v>
      </c>
      <c r="E54" s="612">
        <f>H54/D54</f>
        <v>81.825396825396822</v>
      </c>
      <c r="F54" s="612"/>
      <c r="G54" s="613"/>
      <c r="H54" s="634">
        <f>SUM(H51:H53)</f>
        <v>51.55</v>
      </c>
      <c r="I54" s="634">
        <f>SUM(I51:I53)</f>
        <v>96.05000000000004</v>
      </c>
      <c r="J54" s="984"/>
      <c r="K54" s="986"/>
      <c r="L54" s="988"/>
      <c r="M54" s="988"/>
      <c r="N54" s="986"/>
      <c r="O54" s="988"/>
      <c r="P54" s="988"/>
      <c r="Q54" s="993"/>
      <c r="R54" s="993"/>
      <c r="S54" s="988"/>
      <c r="T54" s="995"/>
    </row>
    <row r="55" spans="1:20" x14ac:dyDescent="0.25">
      <c r="A55" s="577"/>
      <c r="B55" s="578"/>
      <c r="C55" s="578"/>
      <c r="D55" s="578"/>
      <c r="E55" s="579"/>
      <c r="F55" s="579"/>
      <c r="G55" s="580"/>
      <c r="H55" s="617"/>
      <c r="I55" s="617"/>
      <c r="J55" s="984">
        <f>SQRT(ABS((E59-100)/-0.07))</f>
        <v>18.647305642424797</v>
      </c>
      <c r="K55" s="986">
        <v>100</v>
      </c>
      <c r="L55" s="988">
        <f t="shared" ref="L55" si="12">MAX((100-0.023*(25)^2),0)</f>
        <v>85.625</v>
      </c>
      <c r="M55" s="988">
        <f>MAX((100-0.07*(J55+6)^2),0)</f>
        <v>57.475722719822627</v>
      </c>
      <c r="N55" s="986" t="s">
        <v>899</v>
      </c>
      <c r="O55" s="986">
        <v>0</v>
      </c>
      <c r="P55" s="988">
        <f>MAX((100-0.07*(O55)^2),0)</f>
        <v>100</v>
      </c>
      <c r="Q55" s="993">
        <f>'[2]Treatment Ranges &amp; Ages'!$C$26</f>
        <v>669405.93267000245</v>
      </c>
      <c r="R55" s="993">
        <f>3*('[2]Treatment Ranges &amp; Ages'!$C$5)</f>
        <v>186845.79905540484</v>
      </c>
      <c r="S55" s="988">
        <f>MAX((100-0.07*(O55+25-15)^2),0)</f>
        <v>93</v>
      </c>
      <c r="T55" s="995" t="s">
        <v>900</v>
      </c>
    </row>
    <row r="56" spans="1:20" x14ac:dyDescent="0.25">
      <c r="A56" s="577" t="s">
        <v>854</v>
      </c>
      <c r="B56" s="578">
        <v>0.63</v>
      </c>
      <c r="C56" s="578">
        <v>1.4</v>
      </c>
      <c r="D56" s="578">
        <f t="shared" si="9"/>
        <v>0.76999999999999991</v>
      </c>
      <c r="E56" s="579">
        <v>73</v>
      </c>
      <c r="F56" s="579">
        <v>139</v>
      </c>
      <c r="G56" s="580" t="s">
        <v>855</v>
      </c>
      <c r="H56" s="581">
        <f t="shared" ref="H56:H58" si="13">D56*E56</f>
        <v>56.209999999999994</v>
      </c>
      <c r="I56" s="581">
        <f t="shared" ref="I56:I58" si="14">D56*F56</f>
        <v>107.02999999999999</v>
      </c>
      <c r="J56" s="984"/>
      <c r="K56" s="986"/>
      <c r="L56" s="988"/>
      <c r="M56" s="988"/>
      <c r="N56" s="986"/>
      <c r="O56" s="986"/>
      <c r="P56" s="988"/>
      <c r="Q56" s="993"/>
      <c r="R56" s="993"/>
      <c r="S56" s="988"/>
      <c r="T56" s="995"/>
    </row>
    <row r="57" spans="1:20" x14ac:dyDescent="0.25">
      <c r="A57" s="584" t="s">
        <v>856</v>
      </c>
      <c r="B57" s="585">
        <v>1.4</v>
      </c>
      <c r="C57" s="585">
        <v>1.92</v>
      </c>
      <c r="D57" s="585">
        <f t="shared" si="9"/>
        <v>0.52</v>
      </c>
      <c r="E57" s="586">
        <v>76</v>
      </c>
      <c r="F57" s="586">
        <v>146.11538461538501</v>
      </c>
      <c r="G57" s="587" t="s">
        <v>855</v>
      </c>
      <c r="H57" s="581">
        <f t="shared" si="13"/>
        <v>39.520000000000003</v>
      </c>
      <c r="I57" s="581">
        <f t="shared" si="14"/>
        <v>75.980000000000203</v>
      </c>
      <c r="J57" s="984"/>
      <c r="K57" s="986"/>
      <c r="L57" s="988"/>
      <c r="M57" s="988"/>
      <c r="N57" s="986"/>
      <c r="O57" s="986"/>
      <c r="P57" s="988"/>
      <c r="Q57" s="993"/>
      <c r="R57" s="993"/>
      <c r="S57" s="988"/>
      <c r="T57" s="995"/>
    </row>
    <row r="58" spans="1:20" x14ac:dyDescent="0.25">
      <c r="A58" s="635">
        <v>7278</v>
      </c>
      <c r="B58" s="636">
        <v>1.92</v>
      </c>
      <c r="C58" s="636">
        <v>2.48</v>
      </c>
      <c r="D58" s="636">
        <f t="shared" si="9"/>
        <v>0.56000000000000005</v>
      </c>
      <c r="E58" s="637">
        <v>79</v>
      </c>
      <c r="F58" s="637">
        <v>111</v>
      </c>
      <c r="G58" s="638" t="s">
        <v>855</v>
      </c>
      <c r="H58" s="581">
        <f t="shared" si="13"/>
        <v>44.24</v>
      </c>
      <c r="I58" s="581">
        <f t="shared" si="14"/>
        <v>62.160000000000004</v>
      </c>
      <c r="J58" s="984"/>
      <c r="K58" s="986"/>
      <c r="L58" s="988"/>
      <c r="M58" s="988"/>
      <c r="N58" s="986"/>
      <c r="O58" s="986"/>
      <c r="P58" s="988"/>
      <c r="Q58" s="993"/>
      <c r="R58" s="993"/>
      <c r="S58" s="988"/>
      <c r="T58" s="995"/>
    </row>
    <row r="59" spans="1:20" x14ac:dyDescent="0.25">
      <c r="A59" s="600"/>
      <c r="B59" s="601"/>
      <c r="C59" s="601"/>
      <c r="D59" s="601">
        <f>SUM(D56:D58)</f>
        <v>1.85</v>
      </c>
      <c r="E59" s="602">
        <f>H59/D59</f>
        <v>75.659459459459455</v>
      </c>
      <c r="F59" s="602"/>
      <c r="G59" s="604"/>
      <c r="H59" s="634">
        <f>SUM(H56:H58)</f>
        <v>139.97</v>
      </c>
      <c r="I59" s="634">
        <f>SUM(I56:I58)</f>
        <v>245.17000000000019</v>
      </c>
      <c r="J59" s="984"/>
      <c r="K59" s="986"/>
      <c r="L59" s="988"/>
      <c r="M59" s="988"/>
      <c r="N59" s="986"/>
      <c r="O59" s="986"/>
      <c r="P59" s="988"/>
      <c r="Q59" s="993"/>
      <c r="R59" s="993"/>
      <c r="S59" s="988"/>
      <c r="T59" s="995"/>
    </row>
    <row r="60" spans="1:20" x14ac:dyDescent="0.25">
      <c r="A60" s="600"/>
      <c r="B60" s="601"/>
      <c r="C60" s="601"/>
      <c r="D60" s="601"/>
      <c r="E60" s="602"/>
      <c r="F60" s="602"/>
      <c r="G60" s="604"/>
      <c r="J60" s="984">
        <f>SQRT(ABS((E62-100)/-0.023))</f>
        <v>25.537695922762456</v>
      </c>
      <c r="K60" s="986">
        <v>100</v>
      </c>
      <c r="L60" s="988">
        <f t="shared" ref="L60" si="15">MAX((100-0.023*(25)^2),0)</f>
        <v>85.625</v>
      </c>
      <c r="M60" s="988">
        <f>MAX((100-0.023*(J60+6)^2),0)</f>
        <v>77.123595925317559</v>
      </c>
      <c r="N60" s="986" t="s">
        <v>897</v>
      </c>
      <c r="O60" s="988">
        <f>J60+6-15</f>
        <v>16.537695922762456</v>
      </c>
      <c r="P60" s="988">
        <f>MAX((100-0.023*(J60+6-15)^2),0)</f>
        <v>93.709606112023664</v>
      </c>
      <c r="Q60" s="993">
        <f>'[2]Treatment Ranges &amp; Ages'!$C$22</f>
        <v>262937.54099727113</v>
      </c>
      <c r="R60" s="993">
        <f>3*('[2]Treatment Ranges &amp; Ages'!$C$8)</f>
        <v>81001.279037657514</v>
      </c>
      <c r="S60" s="988">
        <f>MAX((100-0.023*(O60+25-15)^2),0)</f>
        <v>83.802265987552929</v>
      </c>
      <c r="T60" s="995" t="s">
        <v>898</v>
      </c>
    </row>
    <row r="61" spans="1:20" x14ac:dyDescent="0.25">
      <c r="A61" s="592">
        <v>7278</v>
      </c>
      <c r="B61" s="593">
        <v>2.48</v>
      </c>
      <c r="C61" s="593">
        <v>2.7</v>
      </c>
      <c r="D61" s="593">
        <f t="shared" si="9"/>
        <v>0.2200000000000002</v>
      </c>
      <c r="E61" s="594">
        <v>85</v>
      </c>
      <c r="F61" s="594">
        <v>149</v>
      </c>
      <c r="G61" s="595" t="s">
        <v>857</v>
      </c>
      <c r="H61" s="581">
        <f t="shared" ref="H61" si="16">D61*E61</f>
        <v>18.700000000000017</v>
      </c>
      <c r="I61" s="581">
        <f t="shared" ref="I61" si="17">D61*F61</f>
        <v>32.78000000000003</v>
      </c>
      <c r="J61" s="984"/>
      <c r="K61" s="986"/>
      <c r="L61" s="988"/>
      <c r="M61" s="988"/>
      <c r="N61" s="986"/>
      <c r="O61" s="988"/>
      <c r="P61" s="988"/>
      <c r="Q61" s="993"/>
      <c r="R61" s="993"/>
      <c r="S61" s="988"/>
      <c r="T61" s="995"/>
    </row>
    <row r="62" spans="1:20" x14ac:dyDescent="0.25">
      <c r="A62" s="596" t="s">
        <v>485</v>
      </c>
      <c r="B62" s="597" t="s">
        <v>485</v>
      </c>
      <c r="C62" s="597" t="s">
        <v>485</v>
      </c>
      <c r="D62" s="597">
        <f>SUM(D61)</f>
        <v>0.2200000000000002</v>
      </c>
      <c r="E62" s="598">
        <f>H61/D61</f>
        <v>85</v>
      </c>
      <c r="F62" s="598"/>
      <c r="G62" s="599" t="s">
        <v>485</v>
      </c>
      <c r="H62" s="581">
        <f>SUM(H55:H61)</f>
        <v>298.64</v>
      </c>
      <c r="I62" s="581">
        <f>SUM(I55:I61)</f>
        <v>523.12000000000035</v>
      </c>
      <c r="J62" s="989"/>
      <c r="K62" s="990"/>
      <c r="L62" s="991"/>
      <c r="M62" s="991"/>
      <c r="N62" s="990"/>
      <c r="O62" s="991"/>
      <c r="P62" s="991"/>
      <c r="Q62" s="996"/>
      <c r="R62" s="996"/>
      <c r="S62" s="991"/>
      <c r="T62" s="997"/>
    </row>
    <row r="63" spans="1:20" x14ac:dyDescent="0.25">
      <c r="A63" s="600"/>
      <c r="B63" s="601"/>
      <c r="C63" s="601"/>
      <c r="D63" s="639">
        <f>D54+D59+D62</f>
        <v>2.7</v>
      </c>
      <c r="E63" s="640">
        <f>(E54*D54+E59*D59+E62*D62)/D63</f>
        <v>77.859259259259247</v>
      </c>
      <c r="F63" s="641"/>
      <c r="G63" s="604"/>
      <c r="H63" s="581"/>
      <c r="I63" s="581"/>
      <c r="P63" s="642" t="s">
        <v>901</v>
      </c>
      <c r="Q63" s="643">
        <f>((Q51*D54)+(Q55*D59)+(Q60*D62))*4</f>
        <v>5610308.353981426</v>
      </c>
      <c r="R63" s="643">
        <f>((R51*D54)+(R55*D59)+(R60*D62))*4</f>
        <v>1583997.3290318069</v>
      </c>
      <c r="S63" s="644">
        <f>(S51*D54+S55*D59+S60*D62)/D63</f>
        <v>89.336061579440937</v>
      </c>
    </row>
    <row r="64" spans="1:20" x14ac:dyDescent="0.25">
      <c r="A64" s="600"/>
      <c r="B64" s="601"/>
      <c r="C64" s="601"/>
      <c r="D64" s="601"/>
      <c r="E64" s="602"/>
      <c r="F64" s="603"/>
      <c r="G64" s="604"/>
    </row>
    <row r="65" spans="1:20" ht="15" customHeight="1" x14ac:dyDescent="0.25">
      <c r="A65" s="566" t="s">
        <v>858</v>
      </c>
      <c r="B65" s="606"/>
      <c r="C65" s="606"/>
      <c r="D65" s="606"/>
      <c r="E65" s="607"/>
      <c r="F65" s="608"/>
      <c r="G65" s="609"/>
      <c r="J65" s="1004" t="s">
        <v>886</v>
      </c>
      <c r="K65" s="1005" t="s">
        <v>887</v>
      </c>
      <c r="L65" s="1005" t="s">
        <v>888</v>
      </c>
      <c r="M65" s="1005" t="s">
        <v>889</v>
      </c>
      <c r="N65" s="1005" t="s">
        <v>890</v>
      </c>
      <c r="O65" s="1005" t="s">
        <v>891</v>
      </c>
      <c r="P65" s="1005" t="s">
        <v>892</v>
      </c>
      <c r="Q65" s="1005" t="s">
        <v>893</v>
      </c>
      <c r="R65" s="1005" t="s">
        <v>894</v>
      </c>
      <c r="S65" s="1005" t="s">
        <v>895</v>
      </c>
      <c r="T65" s="1005" t="s">
        <v>896</v>
      </c>
    </row>
    <row r="66" spans="1:20" x14ac:dyDescent="0.25">
      <c r="A66" s="571" t="s">
        <v>843</v>
      </c>
      <c r="B66" s="572" t="s">
        <v>844</v>
      </c>
      <c r="C66" s="572" t="s">
        <v>845</v>
      </c>
      <c r="D66" s="572" t="s">
        <v>846</v>
      </c>
      <c r="E66" s="572" t="s">
        <v>847</v>
      </c>
      <c r="F66" s="572" t="s">
        <v>848</v>
      </c>
      <c r="G66" s="573" t="s">
        <v>849</v>
      </c>
      <c r="J66" s="980"/>
      <c r="K66" s="982"/>
      <c r="L66" s="982"/>
      <c r="M66" s="982"/>
      <c r="N66" s="982"/>
      <c r="O66" s="982"/>
      <c r="P66" s="982"/>
      <c r="Q66" s="982"/>
      <c r="R66" s="982"/>
      <c r="S66" s="982"/>
      <c r="T66" s="982"/>
    </row>
    <row r="67" spans="1:20" x14ac:dyDescent="0.25">
      <c r="A67" s="577" t="s">
        <v>859</v>
      </c>
      <c r="B67" s="578">
        <v>3.4</v>
      </c>
      <c r="C67" s="578">
        <v>4.62</v>
      </c>
      <c r="D67" s="578">
        <f>C67-B67</f>
        <v>1.2200000000000002</v>
      </c>
      <c r="E67" s="579">
        <v>96</v>
      </c>
      <c r="F67" s="579">
        <v>40.229508196721298</v>
      </c>
      <c r="G67" s="580" t="s">
        <v>855</v>
      </c>
      <c r="H67" s="581">
        <f>D67*E67</f>
        <v>117.12000000000002</v>
      </c>
      <c r="I67" s="581">
        <f>D67*F67</f>
        <v>49.079999999999991</v>
      </c>
      <c r="J67" s="998">
        <f>SQRT(ABS((E77-100)/-0.07))</f>
        <v>7.6002093327166129</v>
      </c>
      <c r="K67" s="1000">
        <v>100</v>
      </c>
      <c r="L67" s="1002">
        <f t="shared" ref="L67" si="18">MAX((100-0.023*(25)^2),0)</f>
        <v>85.625</v>
      </c>
      <c r="M67" s="1002">
        <f>MAX((100-0.07*(J67+6)^2),0)</f>
        <v>87.052401427440159</v>
      </c>
      <c r="N67" s="1000" t="s">
        <v>902</v>
      </c>
      <c r="O67" s="1002">
        <f>MAX(J67+6-7,0)</f>
        <v>6.6002093327166129</v>
      </c>
      <c r="P67" s="1002">
        <f>MAX((100-0.07*(O67+6)^2),0)</f>
        <v>88.886430734020479</v>
      </c>
      <c r="Q67" s="1006">
        <f>'[2]Treatment Ranges &amp; Ages'!$C$12</f>
        <v>133901.54376956075</v>
      </c>
      <c r="R67" s="1006">
        <f>3*'[2]Treatment Ranges &amp; Ages'!$C$5</f>
        <v>186845.79905540484</v>
      </c>
      <c r="S67" s="1002">
        <f>MAX((100-0.07*(O67+25-15)^2),0)</f>
        <v>80.710313507699169</v>
      </c>
      <c r="T67" s="994" t="s">
        <v>903</v>
      </c>
    </row>
    <row r="68" spans="1:20" x14ac:dyDescent="0.25">
      <c r="A68" s="577" t="s">
        <v>860</v>
      </c>
      <c r="B68" s="578">
        <v>4.62</v>
      </c>
      <c r="C68" s="578">
        <v>5.12</v>
      </c>
      <c r="D68" s="578">
        <f t="shared" ref="D68:D80" si="19">C68-B68</f>
        <v>0.5</v>
      </c>
      <c r="E68" s="579">
        <v>94</v>
      </c>
      <c r="F68" s="579">
        <v>52.38</v>
      </c>
      <c r="G68" s="580" t="s">
        <v>855</v>
      </c>
      <c r="H68" s="581">
        <f t="shared" ref="H68:H80" si="20">D68*E68</f>
        <v>47</v>
      </c>
      <c r="I68" s="581">
        <f t="shared" ref="I68:I80" si="21">D68*F68</f>
        <v>26.19</v>
      </c>
      <c r="J68" s="999"/>
      <c r="K68" s="1001"/>
      <c r="L68" s="1003"/>
      <c r="M68" s="1003"/>
      <c r="N68" s="1001"/>
      <c r="O68" s="1003"/>
      <c r="P68" s="1003"/>
      <c r="Q68" s="1007"/>
      <c r="R68" s="1007"/>
      <c r="S68" s="1003"/>
      <c r="T68" s="995"/>
    </row>
    <row r="69" spans="1:20" x14ac:dyDescent="0.25">
      <c r="A69" s="577" t="s">
        <v>861</v>
      </c>
      <c r="B69" s="578">
        <v>5.12</v>
      </c>
      <c r="C69" s="578">
        <v>7.7</v>
      </c>
      <c r="D69" s="578">
        <f t="shared" si="19"/>
        <v>2.58</v>
      </c>
      <c r="E69" s="579">
        <v>97</v>
      </c>
      <c r="F69" s="579">
        <v>46.972868217054298</v>
      </c>
      <c r="G69" s="580" t="s">
        <v>855</v>
      </c>
      <c r="H69" s="581">
        <f t="shared" si="20"/>
        <v>250.26000000000002</v>
      </c>
      <c r="I69" s="581">
        <f t="shared" si="21"/>
        <v>121.1900000000001</v>
      </c>
      <c r="J69" s="999"/>
      <c r="K69" s="1001"/>
      <c r="L69" s="1003"/>
      <c r="M69" s="1003"/>
      <c r="N69" s="1001"/>
      <c r="O69" s="1003"/>
      <c r="P69" s="1003"/>
      <c r="Q69" s="1007"/>
      <c r="R69" s="1007"/>
      <c r="S69" s="1003"/>
      <c r="T69" s="995"/>
    </row>
    <row r="70" spans="1:20" x14ac:dyDescent="0.25">
      <c r="A70" s="577" t="s">
        <v>862</v>
      </c>
      <c r="B70" s="578">
        <v>7.7</v>
      </c>
      <c r="C70" s="578">
        <v>9.06</v>
      </c>
      <c r="D70" s="578">
        <f t="shared" si="19"/>
        <v>1.3600000000000003</v>
      </c>
      <c r="E70" s="579">
        <v>97</v>
      </c>
      <c r="F70" s="579">
        <v>47.639705882352899</v>
      </c>
      <c r="G70" s="580" t="s">
        <v>855</v>
      </c>
      <c r="H70" s="581">
        <f t="shared" si="20"/>
        <v>131.92000000000004</v>
      </c>
      <c r="I70" s="581">
        <f t="shared" si="21"/>
        <v>64.789999999999964</v>
      </c>
      <c r="J70" s="999"/>
      <c r="K70" s="1001"/>
      <c r="L70" s="1003"/>
      <c r="M70" s="1003"/>
      <c r="N70" s="1001"/>
      <c r="O70" s="1003"/>
      <c r="P70" s="1003"/>
      <c r="Q70" s="1007"/>
      <c r="R70" s="1007"/>
      <c r="S70" s="1003"/>
      <c r="T70" s="995"/>
    </row>
    <row r="71" spans="1:20" x14ac:dyDescent="0.25">
      <c r="A71" s="577" t="s">
        <v>863</v>
      </c>
      <c r="B71" s="578">
        <v>9.06</v>
      </c>
      <c r="C71" s="578">
        <v>9.6</v>
      </c>
      <c r="D71" s="578">
        <f t="shared" si="19"/>
        <v>0.53999999999999915</v>
      </c>
      <c r="E71" s="579">
        <v>98</v>
      </c>
      <c r="F71" s="579">
        <v>42.462962962962997</v>
      </c>
      <c r="G71" s="580" t="s">
        <v>855</v>
      </c>
      <c r="H71" s="581">
        <f t="shared" si="20"/>
        <v>52.919999999999916</v>
      </c>
      <c r="I71" s="581">
        <f t="shared" si="21"/>
        <v>22.929999999999982</v>
      </c>
      <c r="J71" s="999"/>
      <c r="K71" s="1001"/>
      <c r="L71" s="1003"/>
      <c r="M71" s="1003"/>
      <c r="N71" s="1001"/>
      <c r="O71" s="1003"/>
      <c r="P71" s="1003"/>
      <c r="Q71" s="1007"/>
      <c r="R71" s="1007"/>
      <c r="S71" s="1003"/>
      <c r="T71" s="995"/>
    </row>
    <row r="72" spans="1:20" x14ac:dyDescent="0.25">
      <c r="A72" s="577" t="s">
        <v>864</v>
      </c>
      <c r="B72" s="578">
        <v>9.6</v>
      </c>
      <c r="C72" s="578">
        <v>9.67</v>
      </c>
      <c r="D72" s="578">
        <f t="shared" si="19"/>
        <v>7.0000000000000284E-2</v>
      </c>
      <c r="E72" s="579">
        <v>98</v>
      </c>
      <c r="F72" s="579">
        <v>46.571428571428598</v>
      </c>
      <c r="G72" s="580" t="s">
        <v>855</v>
      </c>
      <c r="H72" s="581">
        <f t="shared" si="20"/>
        <v>6.8600000000000279</v>
      </c>
      <c r="I72" s="581">
        <f t="shared" si="21"/>
        <v>3.2600000000000149</v>
      </c>
      <c r="J72" s="999"/>
      <c r="K72" s="1001"/>
      <c r="L72" s="1003"/>
      <c r="M72" s="1003"/>
      <c r="N72" s="1001"/>
      <c r="O72" s="1003"/>
      <c r="P72" s="1003"/>
      <c r="Q72" s="1007"/>
      <c r="R72" s="1007"/>
      <c r="S72" s="1003"/>
      <c r="T72" s="995"/>
    </row>
    <row r="73" spans="1:20" x14ac:dyDescent="0.25">
      <c r="A73" s="577" t="s">
        <v>865</v>
      </c>
      <c r="B73" s="578">
        <v>9.67</v>
      </c>
      <c r="C73" s="578">
        <v>10.209999999999999</v>
      </c>
      <c r="D73" s="578">
        <f t="shared" si="19"/>
        <v>0.53999999999999915</v>
      </c>
      <c r="E73" s="579">
        <v>95</v>
      </c>
      <c r="F73" s="579">
        <v>48.462962962962997</v>
      </c>
      <c r="G73" s="580" t="s">
        <v>855</v>
      </c>
      <c r="H73" s="581">
        <f t="shared" si="20"/>
        <v>51.299999999999919</v>
      </c>
      <c r="I73" s="581">
        <f t="shared" si="21"/>
        <v>26.169999999999977</v>
      </c>
      <c r="J73" s="999"/>
      <c r="K73" s="1001"/>
      <c r="L73" s="1003"/>
      <c r="M73" s="1003"/>
      <c r="N73" s="1001"/>
      <c r="O73" s="1003"/>
      <c r="P73" s="1003"/>
      <c r="Q73" s="1007"/>
      <c r="R73" s="1007"/>
      <c r="S73" s="1003"/>
      <c r="T73" s="995"/>
    </row>
    <row r="74" spans="1:20" x14ac:dyDescent="0.25">
      <c r="A74" s="577" t="s">
        <v>866</v>
      </c>
      <c r="B74" s="578">
        <v>10.210000000000001</v>
      </c>
      <c r="C74" s="578">
        <v>10.77</v>
      </c>
      <c r="D74" s="578">
        <f t="shared" si="19"/>
        <v>0.55999999999999872</v>
      </c>
      <c r="E74" s="579">
        <v>95</v>
      </c>
      <c r="F74" s="579">
        <v>50.357142857142897</v>
      </c>
      <c r="G74" s="580" t="s">
        <v>855</v>
      </c>
      <c r="H74" s="581">
        <f t="shared" si="20"/>
        <v>53.199999999999875</v>
      </c>
      <c r="I74" s="581">
        <f t="shared" si="21"/>
        <v>28.199999999999957</v>
      </c>
      <c r="J74" s="999"/>
      <c r="K74" s="1001"/>
      <c r="L74" s="1003"/>
      <c r="M74" s="1003"/>
      <c r="N74" s="1001"/>
      <c r="O74" s="1003"/>
      <c r="P74" s="1003"/>
      <c r="Q74" s="1007"/>
      <c r="R74" s="1007"/>
      <c r="S74" s="1003"/>
      <c r="T74" s="995"/>
    </row>
    <row r="75" spans="1:20" x14ac:dyDescent="0.25">
      <c r="A75" s="577" t="s">
        <v>867</v>
      </c>
      <c r="B75" s="578">
        <v>10.77</v>
      </c>
      <c r="C75" s="578">
        <v>10.87</v>
      </c>
      <c r="D75" s="578">
        <f t="shared" si="19"/>
        <v>9.9999999999999645E-2</v>
      </c>
      <c r="E75" s="579">
        <v>98</v>
      </c>
      <c r="F75" s="579">
        <v>40.299999999999997</v>
      </c>
      <c r="G75" s="580" t="s">
        <v>855</v>
      </c>
      <c r="H75" s="581">
        <f t="shared" si="20"/>
        <v>9.7999999999999652</v>
      </c>
      <c r="I75" s="581">
        <f t="shared" si="21"/>
        <v>4.0299999999999851</v>
      </c>
      <c r="J75" s="999"/>
      <c r="K75" s="1001"/>
      <c r="L75" s="1003"/>
      <c r="M75" s="1003"/>
      <c r="N75" s="1001"/>
      <c r="O75" s="1003"/>
      <c r="P75" s="1003"/>
      <c r="Q75" s="1007"/>
      <c r="R75" s="1007"/>
      <c r="S75" s="1003"/>
      <c r="T75" s="995"/>
    </row>
    <row r="76" spans="1:20" x14ac:dyDescent="0.25">
      <c r="A76" s="592" t="s">
        <v>868</v>
      </c>
      <c r="B76" s="593">
        <v>10.87</v>
      </c>
      <c r="C76" s="593">
        <v>11.23</v>
      </c>
      <c r="D76" s="593">
        <f t="shared" si="19"/>
        <v>0.36000000000000121</v>
      </c>
      <c r="E76" s="594">
        <v>86</v>
      </c>
      <c r="F76" s="594">
        <v>118.5</v>
      </c>
      <c r="G76" s="595" t="s">
        <v>855</v>
      </c>
      <c r="H76" s="581">
        <f t="shared" si="20"/>
        <v>30.960000000000104</v>
      </c>
      <c r="I76" s="581">
        <f t="shared" si="21"/>
        <v>42.660000000000146</v>
      </c>
      <c r="J76" s="999"/>
      <c r="K76" s="1001"/>
      <c r="L76" s="1003"/>
      <c r="M76" s="1003"/>
      <c r="N76" s="1001"/>
      <c r="O76" s="1003"/>
      <c r="P76" s="1003"/>
      <c r="Q76" s="1007"/>
      <c r="R76" s="1007"/>
      <c r="S76" s="1003"/>
      <c r="T76" s="995"/>
    </row>
    <row r="77" spans="1:20" x14ac:dyDescent="0.25">
      <c r="A77" s="610"/>
      <c r="B77" s="611"/>
      <c r="C77" s="611"/>
      <c r="D77" s="601">
        <f>SUM(D67:D76)</f>
        <v>7.8299999999999992</v>
      </c>
      <c r="E77" s="602">
        <f>H77/D77</f>
        <v>95.95657726692211</v>
      </c>
      <c r="F77" s="612"/>
      <c r="G77" s="613"/>
      <c r="H77" s="581">
        <f>SUM(H66:H76)</f>
        <v>751.34</v>
      </c>
      <c r="I77" s="581">
        <f>SUM(I66:I76)</f>
        <v>388.50000000000006</v>
      </c>
      <c r="J77" s="999"/>
      <c r="K77" s="1001"/>
      <c r="L77" s="1003"/>
      <c r="M77" s="1003"/>
      <c r="N77" s="1001"/>
      <c r="O77" s="1003"/>
      <c r="P77" s="1003"/>
      <c r="Q77" s="1007"/>
      <c r="R77" s="1007"/>
      <c r="S77" s="1003"/>
      <c r="T77" s="995"/>
    </row>
    <row r="78" spans="1:20" x14ac:dyDescent="0.25">
      <c r="A78" s="577"/>
      <c r="B78" s="578"/>
      <c r="C78" s="578"/>
      <c r="D78" s="578"/>
      <c r="E78" s="579"/>
      <c r="F78" s="579"/>
      <c r="G78" s="580"/>
      <c r="H78" s="581"/>
      <c r="I78" s="581"/>
      <c r="J78" s="999">
        <f>SQRT(ABS((E81-100)/-0.023))</f>
        <v>31.540174519105818</v>
      </c>
      <c r="K78" s="1001">
        <v>100</v>
      </c>
      <c r="L78" s="1003">
        <f t="shared" ref="L78" si="22">MAX((100-0.023*(25)^2),0)</f>
        <v>85.625</v>
      </c>
      <c r="M78" s="1003">
        <f>MAX((100-0.023*(J78+6)^2),0)</f>
        <v>67.586911832726798</v>
      </c>
      <c r="N78" s="1001" t="s">
        <v>899</v>
      </c>
      <c r="O78" s="1003">
        <v>0</v>
      </c>
      <c r="P78" s="1003">
        <f>MAX((100-0.023*(O78)^2),0)</f>
        <v>100</v>
      </c>
      <c r="Q78" s="1007">
        <f>('[2]Treatment Ranges &amp; Ages'!$C$29)</f>
        <v>749480.66363022523</v>
      </c>
      <c r="R78" s="1007">
        <f>1*'[2]Treatment Ranges &amp; Ages'!$C$8</f>
        <v>27000.426345885837</v>
      </c>
      <c r="S78" s="1003">
        <f>MAX((100-0.023*(O78+25-5)^2),0)</f>
        <v>90.8</v>
      </c>
      <c r="T78" s="995" t="s">
        <v>904</v>
      </c>
    </row>
    <row r="79" spans="1:20" x14ac:dyDescent="0.25">
      <c r="A79" s="577" t="s">
        <v>869</v>
      </c>
      <c r="B79" s="578">
        <v>0</v>
      </c>
      <c r="C79" s="578">
        <v>0.24000000000000002</v>
      </c>
      <c r="D79" s="578">
        <f t="shared" si="19"/>
        <v>0.24000000000000002</v>
      </c>
      <c r="E79" s="579">
        <v>87</v>
      </c>
      <c r="F79" s="579">
        <v>130.291666666667</v>
      </c>
      <c r="G79" s="580" t="s">
        <v>857</v>
      </c>
      <c r="H79" s="581">
        <f t="shared" si="20"/>
        <v>20.880000000000003</v>
      </c>
      <c r="I79" s="581">
        <f t="shared" si="21"/>
        <v>31.270000000000081</v>
      </c>
      <c r="J79" s="999"/>
      <c r="K79" s="1001"/>
      <c r="L79" s="1003"/>
      <c r="M79" s="1003"/>
      <c r="N79" s="1001"/>
      <c r="O79" s="1003"/>
      <c r="P79" s="1003"/>
      <c r="Q79" s="1007"/>
      <c r="R79" s="1007"/>
      <c r="S79" s="1003"/>
      <c r="T79" s="995"/>
    </row>
    <row r="80" spans="1:20" x14ac:dyDescent="0.25">
      <c r="A80" s="592" t="s">
        <v>870</v>
      </c>
      <c r="B80" s="593">
        <v>0.24</v>
      </c>
      <c r="C80" s="593">
        <v>0.5</v>
      </c>
      <c r="D80" s="593">
        <f t="shared" si="19"/>
        <v>0.26</v>
      </c>
      <c r="E80" s="594">
        <v>68</v>
      </c>
      <c r="F80" s="594">
        <v>152.269230769231</v>
      </c>
      <c r="G80" s="595" t="s">
        <v>857</v>
      </c>
      <c r="H80" s="581">
        <f t="shared" si="20"/>
        <v>17.68</v>
      </c>
      <c r="I80" s="581">
        <f t="shared" si="21"/>
        <v>39.59000000000006</v>
      </c>
      <c r="J80" s="999"/>
      <c r="K80" s="1001"/>
      <c r="L80" s="1003"/>
      <c r="M80" s="1003"/>
      <c r="N80" s="1001"/>
      <c r="O80" s="1003"/>
      <c r="P80" s="1003"/>
      <c r="Q80" s="1007"/>
      <c r="R80" s="1007"/>
      <c r="S80" s="1003"/>
      <c r="T80" s="995"/>
    </row>
    <row r="81" spans="1:20" x14ac:dyDescent="0.25">
      <c r="A81" s="610" t="s">
        <v>485</v>
      </c>
      <c r="B81" s="611" t="s">
        <v>485</v>
      </c>
      <c r="C81" s="611" t="s">
        <v>485</v>
      </c>
      <c r="D81" s="611">
        <f>SUM(D79:D80)</f>
        <v>0.5</v>
      </c>
      <c r="E81" s="612">
        <f>H81/D81</f>
        <v>77.12</v>
      </c>
      <c r="F81" s="612"/>
      <c r="G81" s="613" t="s">
        <v>485</v>
      </c>
      <c r="H81" s="581">
        <f>SUM(H79:H80)</f>
        <v>38.56</v>
      </c>
      <c r="I81" s="581">
        <f>SUM(I79:I80)</f>
        <v>70.860000000000142</v>
      </c>
      <c r="J81" s="1008"/>
      <c r="K81" s="1009"/>
      <c r="L81" s="1010"/>
      <c r="M81" s="1010"/>
      <c r="N81" s="1009"/>
      <c r="O81" s="1010"/>
      <c r="P81" s="1010"/>
      <c r="Q81" s="1011"/>
      <c r="R81" s="1011"/>
      <c r="S81" s="1010"/>
      <c r="T81" s="997"/>
    </row>
    <row r="82" spans="1:20" x14ac:dyDescent="0.25">
      <c r="A82" s="614"/>
      <c r="B82" s="615"/>
      <c r="C82" s="615"/>
      <c r="D82" s="639">
        <f>D77+D81</f>
        <v>8.3299999999999983</v>
      </c>
      <c r="E82" s="640">
        <f>(E77*D77+E81*D81)/D82</f>
        <v>94.825930372148889</v>
      </c>
      <c r="F82" s="641"/>
      <c r="G82" s="616"/>
      <c r="P82" s="642" t="s">
        <v>901</v>
      </c>
      <c r="Q82" s="643">
        <f>(Q67*D77+Q78*D81)*4</f>
        <v>5692757.6781230923</v>
      </c>
      <c r="R82" s="643">
        <f>(R67*E77+R78*E81)*4</f>
        <v>80045424.935417891</v>
      </c>
      <c r="S82" s="644">
        <f>(S67*D77+S78*D81)/D82</f>
        <v>81.315936946612794</v>
      </c>
    </row>
    <row r="83" spans="1:20" x14ac:dyDescent="0.25">
      <c r="A83" s="575"/>
      <c r="B83" s="615"/>
      <c r="C83" s="615"/>
      <c r="D83" s="601"/>
      <c r="E83" s="602"/>
      <c r="F83" s="602"/>
      <c r="G83" s="616"/>
    </row>
    <row r="84" spans="1:20" ht="15" customHeight="1" x14ac:dyDescent="0.25">
      <c r="A84" s="566" t="s">
        <v>871</v>
      </c>
      <c r="B84" s="606"/>
      <c r="C84" s="606"/>
      <c r="D84" s="618"/>
      <c r="E84" s="607"/>
      <c r="F84" s="608"/>
      <c r="G84" s="609"/>
      <c r="J84" s="1004" t="s">
        <v>886</v>
      </c>
      <c r="K84" s="1005" t="s">
        <v>887</v>
      </c>
      <c r="L84" s="1005" t="s">
        <v>888</v>
      </c>
      <c r="M84" s="1005" t="s">
        <v>889</v>
      </c>
      <c r="N84" s="1005" t="s">
        <v>890</v>
      </c>
      <c r="O84" s="1005" t="s">
        <v>891</v>
      </c>
      <c r="P84" s="1005" t="s">
        <v>892</v>
      </c>
      <c r="Q84" s="1005" t="s">
        <v>893</v>
      </c>
      <c r="R84" s="1005" t="s">
        <v>894</v>
      </c>
      <c r="S84" s="1005" t="s">
        <v>895</v>
      </c>
      <c r="T84" s="1005" t="s">
        <v>896</v>
      </c>
    </row>
    <row r="85" spans="1:20" x14ac:dyDescent="0.25">
      <c r="A85" s="571" t="s">
        <v>843</v>
      </c>
      <c r="B85" s="572" t="s">
        <v>844</v>
      </c>
      <c r="C85" s="572" t="s">
        <v>845</v>
      </c>
      <c r="D85" s="572" t="s">
        <v>846</v>
      </c>
      <c r="E85" s="572" t="s">
        <v>847</v>
      </c>
      <c r="F85" s="572" t="s">
        <v>848</v>
      </c>
      <c r="G85" s="573" t="s">
        <v>849</v>
      </c>
      <c r="J85" s="980"/>
      <c r="K85" s="982"/>
      <c r="L85" s="982"/>
      <c r="M85" s="982"/>
      <c r="N85" s="982"/>
      <c r="O85" s="982"/>
      <c r="P85" s="982"/>
      <c r="Q85" s="982"/>
      <c r="R85" s="982"/>
      <c r="S85" s="982"/>
      <c r="T85" s="982"/>
    </row>
    <row r="86" spans="1:20" x14ac:dyDescent="0.25">
      <c r="A86" s="577">
        <v>5568</v>
      </c>
      <c r="B86" s="578">
        <v>5.97</v>
      </c>
      <c r="C86" s="578">
        <v>6.55</v>
      </c>
      <c r="D86" s="578">
        <f>C86-B86</f>
        <v>0.58000000000000007</v>
      </c>
      <c r="E86" s="579">
        <v>92</v>
      </c>
      <c r="F86" s="579">
        <v>80</v>
      </c>
      <c r="G86" s="580" t="s">
        <v>855</v>
      </c>
      <c r="H86" s="581">
        <f t="shared" ref="H86:H89" si="23">D86*E86</f>
        <v>53.360000000000007</v>
      </c>
      <c r="I86" s="581">
        <f>D86*F86</f>
        <v>46.400000000000006</v>
      </c>
      <c r="J86" s="983">
        <f>SQRT(ABS((E90-100)/-0.07))</f>
        <v>14.03205818469468</v>
      </c>
      <c r="K86" s="985">
        <v>100</v>
      </c>
      <c r="L86" s="987">
        <f t="shared" ref="L86" si="24">MAX((100-0.023*(25)^2),0)</f>
        <v>85.625</v>
      </c>
      <c r="M86" s="987">
        <f>MAX((100-0.07*(J86+6)^2),0)</f>
        <v>71.910165141950472</v>
      </c>
      <c r="N86" s="985" t="s">
        <v>897</v>
      </c>
      <c r="O86" s="987">
        <f>MAX(J86+6-15,0)</f>
        <v>5.0320581846946801</v>
      </c>
      <c r="P86" s="987">
        <f>MAX((100-0.07*(O86+6)^2),0)</f>
        <v>91.480558454665783</v>
      </c>
      <c r="Q86" s="992">
        <f>'[2]Treatment Ranges &amp; Ages'!$C$19</f>
        <v>291683.21476954635</v>
      </c>
      <c r="R86" s="992">
        <f>3*'[2]Treatment Ranges &amp; Ages'!$C$5</f>
        <v>186845.79905540484</v>
      </c>
      <c r="S86" s="987">
        <f>MAX((100-0.07*(O86+25-15)^2),0)</f>
        <v>84.18260587123676</v>
      </c>
      <c r="T86" s="1012" t="s">
        <v>905</v>
      </c>
    </row>
    <row r="87" spans="1:20" x14ac:dyDescent="0.25">
      <c r="A87" s="577" t="s">
        <v>872</v>
      </c>
      <c r="B87" s="578">
        <v>6.55</v>
      </c>
      <c r="C87" s="578">
        <v>8.73</v>
      </c>
      <c r="D87" s="578">
        <f>C87-B87</f>
        <v>2.1800000000000006</v>
      </c>
      <c r="E87" s="579">
        <v>87</v>
      </c>
      <c r="F87" s="579">
        <v>98</v>
      </c>
      <c r="G87" s="580" t="s">
        <v>855</v>
      </c>
      <c r="H87" s="581">
        <f t="shared" si="23"/>
        <v>189.66000000000005</v>
      </c>
      <c r="I87" s="581">
        <f>D87*F87</f>
        <v>213.64000000000007</v>
      </c>
      <c r="J87" s="984"/>
      <c r="K87" s="986"/>
      <c r="L87" s="988"/>
      <c r="M87" s="988"/>
      <c r="N87" s="986"/>
      <c r="O87" s="988"/>
      <c r="P87" s="988"/>
      <c r="Q87" s="993"/>
      <c r="R87" s="993"/>
      <c r="S87" s="988"/>
      <c r="T87" s="1013"/>
    </row>
    <row r="88" spans="1:20" x14ac:dyDescent="0.25">
      <c r="A88" s="577" t="s">
        <v>873</v>
      </c>
      <c r="B88" s="578">
        <v>8.73</v>
      </c>
      <c r="C88" s="578">
        <v>9.379999999999999</v>
      </c>
      <c r="D88" s="578">
        <f>C88-B88</f>
        <v>0.64999999999999858</v>
      </c>
      <c r="E88" s="579">
        <v>83</v>
      </c>
      <c r="F88" s="579">
        <v>113</v>
      </c>
      <c r="G88" s="580" t="s">
        <v>855</v>
      </c>
      <c r="H88" s="581">
        <f t="shared" si="23"/>
        <v>53.949999999999882</v>
      </c>
      <c r="I88" s="581">
        <f t="shared" ref="I88:I89" si="25">D88*F88</f>
        <v>73.449999999999847</v>
      </c>
      <c r="J88" s="984"/>
      <c r="K88" s="986"/>
      <c r="L88" s="988"/>
      <c r="M88" s="988"/>
      <c r="N88" s="986"/>
      <c r="O88" s="988"/>
      <c r="P88" s="988"/>
      <c r="Q88" s="993"/>
      <c r="R88" s="993"/>
      <c r="S88" s="988"/>
      <c r="T88" s="1013"/>
    </row>
    <row r="89" spans="1:20" x14ac:dyDescent="0.25">
      <c r="A89" s="592" t="s">
        <v>874</v>
      </c>
      <c r="B89" s="593">
        <v>9.3800000000000008</v>
      </c>
      <c r="C89" s="593">
        <v>11.82</v>
      </c>
      <c r="D89" s="593">
        <f>C89-B89</f>
        <v>2.4399999999999995</v>
      </c>
      <c r="E89" s="594">
        <v>85</v>
      </c>
      <c r="F89" s="594">
        <v>109</v>
      </c>
      <c r="G89" s="595" t="s">
        <v>855</v>
      </c>
      <c r="H89" s="581">
        <f t="shared" si="23"/>
        <v>207.39999999999995</v>
      </c>
      <c r="I89" s="581">
        <f t="shared" si="25"/>
        <v>265.95999999999992</v>
      </c>
      <c r="J89" s="984"/>
      <c r="K89" s="986"/>
      <c r="L89" s="988"/>
      <c r="M89" s="988"/>
      <c r="N89" s="986"/>
      <c r="O89" s="988"/>
      <c r="P89" s="988"/>
      <c r="Q89" s="993"/>
      <c r="R89" s="993"/>
      <c r="S89" s="988"/>
      <c r="T89" s="1013"/>
    </row>
    <row r="90" spans="1:20" x14ac:dyDescent="0.25">
      <c r="A90" s="619"/>
      <c r="B90" s="620"/>
      <c r="C90" s="620"/>
      <c r="D90" s="620">
        <f>SUM(D86:D89)</f>
        <v>5.8499999999999988</v>
      </c>
      <c r="E90" s="621">
        <f>H90/D90</f>
        <v>86.217094017094013</v>
      </c>
      <c r="F90" s="621">
        <f>I90/D90</f>
        <v>102.47008547008546</v>
      </c>
      <c r="G90" s="622" t="s">
        <v>485</v>
      </c>
      <c r="H90" s="581">
        <f>SUM(H86:H89)</f>
        <v>504.36999999999989</v>
      </c>
      <c r="I90" s="581">
        <f>SUM(I86:I89)</f>
        <v>599.44999999999982</v>
      </c>
      <c r="J90" s="989"/>
      <c r="K90" s="990"/>
      <c r="L90" s="991"/>
      <c r="M90" s="991"/>
      <c r="N90" s="990"/>
      <c r="O90" s="991"/>
      <c r="P90" s="991"/>
      <c r="Q90" s="996"/>
      <c r="R90" s="996"/>
      <c r="S90" s="991"/>
      <c r="T90" s="1014"/>
    </row>
    <row r="91" spans="1:20" ht="15.75" thickBot="1" x14ac:dyDescent="0.3">
      <c r="A91" s="623"/>
      <c r="B91" s="624"/>
      <c r="C91" s="624"/>
      <c r="D91" s="624"/>
      <c r="E91" s="624"/>
      <c r="F91" s="624"/>
      <c r="G91" s="625"/>
      <c r="P91" s="642" t="s">
        <v>901</v>
      </c>
      <c r="Q91" s="643">
        <f>Q86*D90*4</f>
        <v>6825387.2256073831</v>
      </c>
      <c r="R91" s="643">
        <f>R86*E90*4</f>
        <v>64437207.295435578</v>
      </c>
      <c r="S91" s="644"/>
    </row>
  </sheetData>
  <mergeCells count="103">
    <mergeCell ref="P86:P90"/>
    <mergeCell ref="Q86:Q90"/>
    <mergeCell ref="R86:R90"/>
    <mergeCell ref="S86:S90"/>
    <mergeCell ref="T86:T90"/>
    <mergeCell ref="J86:J90"/>
    <mergeCell ref="K86:K90"/>
    <mergeCell ref="L86:L90"/>
    <mergeCell ref="M86:M90"/>
    <mergeCell ref="N86:N90"/>
    <mergeCell ref="O86:O90"/>
    <mergeCell ref="O84:O85"/>
    <mergeCell ref="P84:P85"/>
    <mergeCell ref="Q84:Q85"/>
    <mergeCell ref="R84:R85"/>
    <mergeCell ref="S84:S85"/>
    <mergeCell ref="T84:T85"/>
    <mergeCell ref="P78:P81"/>
    <mergeCell ref="Q78:Q81"/>
    <mergeCell ref="R78:R81"/>
    <mergeCell ref="S78:S81"/>
    <mergeCell ref="T78:T81"/>
    <mergeCell ref="O78:O81"/>
    <mergeCell ref="J84:J85"/>
    <mergeCell ref="K84:K85"/>
    <mergeCell ref="L84:L85"/>
    <mergeCell ref="M84:M85"/>
    <mergeCell ref="N84:N85"/>
    <mergeCell ref="J78:J81"/>
    <mergeCell ref="K78:K81"/>
    <mergeCell ref="L78:L81"/>
    <mergeCell ref="M78:M81"/>
    <mergeCell ref="N78:N81"/>
    <mergeCell ref="S55:S59"/>
    <mergeCell ref="T55:T59"/>
    <mergeCell ref="J67:J77"/>
    <mergeCell ref="K67:K77"/>
    <mergeCell ref="L67:L77"/>
    <mergeCell ref="M67:M77"/>
    <mergeCell ref="N67:N77"/>
    <mergeCell ref="J65:J66"/>
    <mergeCell ref="K65:K66"/>
    <mergeCell ref="L65:L66"/>
    <mergeCell ref="M65:M66"/>
    <mergeCell ref="N65:N66"/>
    <mergeCell ref="O67:O77"/>
    <mergeCell ref="P67:P77"/>
    <mergeCell ref="Q67:Q77"/>
    <mergeCell ref="R67:R77"/>
    <mergeCell ref="S67:S77"/>
    <mergeCell ref="T67:T77"/>
    <mergeCell ref="P65:P66"/>
    <mergeCell ref="Q65:Q66"/>
    <mergeCell ref="R65:R66"/>
    <mergeCell ref="S65:S66"/>
    <mergeCell ref="T65:T66"/>
    <mergeCell ref="O65:O66"/>
    <mergeCell ref="J60:J62"/>
    <mergeCell ref="K60:K62"/>
    <mergeCell ref="L60:L62"/>
    <mergeCell ref="M60:M62"/>
    <mergeCell ref="N60:N62"/>
    <mergeCell ref="Q51:Q54"/>
    <mergeCell ref="R51:R54"/>
    <mergeCell ref="S51:S54"/>
    <mergeCell ref="T51:T54"/>
    <mergeCell ref="J55:J59"/>
    <mergeCell ref="K55:K59"/>
    <mergeCell ref="L55:L59"/>
    <mergeCell ref="M55:M59"/>
    <mergeCell ref="N55:N59"/>
    <mergeCell ref="O55:O59"/>
    <mergeCell ref="O60:O62"/>
    <mergeCell ref="P60:P62"/>
    <mergeCell ref="Q60:Q62"/>
    <mergeCell ref="R60:R62"/>
    <mergeCell ref="S60:S62"/>
    <mergeCell ref="T60:T62"/>
    <mergeCell ref="P55:P59"/>
    <mergeCell ref="Q55:Q59"/>
    <mergeCell ref="R55:R59"/>
    <mergeCell ref="J51:J54"/>
    <mergeCell ref="K51:K54"/>
    <mergeCell ref="L51:L54"/>
    <mergeCell ref="M51:M54"/>
    <mergeCell ref="N51:N54"/>
    <mergeCell ref="O51:O54"/>
    <mergeCell ref="P51:P54"/>
    <mergeCell ref="L49:L50"/>
    <mergeCell ref="M49:M50"/>
    <mergeCell ref="N49:N50"/>
    <mergeCell ref="O49:O50"/>
    <mergeCell ref="P49:P50"/>
    <mergeCell ref="A1:G1"/>
    <mergeCell ref="A38:B38"/>
    <mergeCell ref="D38:E38"/>
    <mergeCell ref="A48:G48"/>
    <mergeCell ref="J49:J50"/>
    <mergeCell ref="K49:K50"/>
    <mergeCell ref="R49:R50"/>
    <mergeCell ref="S49:S50"/>
    <mergeCell ref="T49:T50"/>
    <mergeCell ref="Q49:Q50"/>
  </mergeCells>
  <pageMargins left="0.7" right="0.7" top="0.75" bottom="0.75" header="0.3" footer="0.3"/>
  <pageSetup paperSize="17" scale="63"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A1:AL119"/>
  <sheetViews>
    <sheetView tabSelected="1" zoomScale="80" zoomScaleNormal="80" workbookViewId="0">
      <pane xSplit="1" topLeftCell="B1" activePane="topRight" state="frozen"/>
      <selection pane="topRight" activeCell="B1" sqref="B1"/>
    </sheetView>
  </sheetViews>
  <sheetFormatPr defaultColWidth="9.140625" defaultRowHeight="15" x14ac:dyDescent="0.25"/>
  <cols>
    <col min="1" max="1" width="66.42578125" style="715" customWidth="1"/>
    <col min="2" max="3" width="20.7109375" style="715" customWidth="1"/>
    <col min="4" max="4" width="12.28515625" style="715" bestFit="1" customWidth="1"/>
    <col min="5" max="5" width="6.5703125" style="715" bestFit="1" customWidth="1"/>
    <col min="6" max="6" width="6.5703125" style="715" customWidth="1"/>
    <col min="7" max="7" width="19.42578125" style="715" bestFit="1" customWidth="1"/>
    <col min="8" max="8" width="22.7109375" style="715" bestFit="1" customWidth="1"/>
    <col min="9" max="35" width="14.140625" style="715" bestFit="1" customWidth="1"/>
    <col min="36" max="36" width="15" style="716" bestFit="1" customWidth="1"/>
    <col min="37" max="37" width="111" style="715" bestFit="1" customWidth="1"/>
    <col min="38" max="38" width="18.42578125" style="715" bestFit="1" customWidth="1"/>
    <col min="39" max="16384" width="9.140625" style="715"/>
  </cols>
  <sheetData>
    <row r="1" spans="1:37" x14ac:dyDescent="0.25">
      <c r="A1" s="785" t="s">
        <v>1006</v>
      </c>
    </row>
    <row r="3" spans="1:37" x14ac:dyDescent="0.25">
      <c r="A3" s="786" t="s">
        <v>1031</v>
      </c>
    </row>
    <row r="4" spans="1:37" s="717" customFormat="1" ht="30" x14ac:dyDescent="0.25">
      <c r="D4" s="718" t="s">
        <v>1032</v>
      </c>
      <c r="E4" s="718"/>
      <c r="F4" s="718"/>
      <c r="G4" s="718" t="s">
        <v>1033</v>
      </c>
      <c r="H4" s="718" t="s">
        <v>1034</v>
      </c>
      <c r="AJ4" s="719"/>
    </row>
    <row r="5" spans="1:37" s="720" customFormat="1" x14ac:dyDescent="0.25">
      <c r="D5" s="721">
        <v>1</v>
      </c>
      <c r="E5" s="721">
        <v>2</v>
      </c>
      <c r="F5" s="721">
        <v>3</v>
      </c>
      <c r="G5" s="721">
        <f>F5+1</f>
        <v>4</v>
      </c>
      <c r="H5" s="721">
        <f t="shared" ref="H5:AI5" si="0">G5+1</f>
        <v>5</v>
      </c>
      <c r="I5" s="721">
        <f t="shared" si="0"/>
        <v>6</v>
      </c>
      <c r="J5" s="721">
        <f t="shared" si="0"/>
        <v>7</v>
      </c>
      <c r="K5" s="721">
        <f t="shared" si="0"/>
        <v>8</v>
      </c>
      <c r="L5" s="721">
        <f t="shared" si="0"/>
        <v>9</v>
      </c>
      <c r="M5" s="721">
        <f t="shared" si="0"/>
        <v>10</v>
      </c>
      <c r="N5" s="721">
        <f t="shared" si="0"/>
        <v>11</v>
      </c>
      <c r="O5" s="721">
        <f t="shared" si="0"/>
        <v>12</v>
      </c>
      <c r="P5" s="721">
        <f t="shared" si="0"/>
        <v>13</v>
      </c>
      <c r="Q5" s="721">
        <f t="shared" si="0"/>
        <v>14</v>
      </c>
      <c r="R5" s="721">
        <f t="shared" si="0"/>
        <v>15</v>
      </c>
      <c r="S5" s="721">
        <f t="shared" si="0"/>
        <v>16</v>
      </c>
      <c r="T5" s="721">
        <f t="shared" si="0"/>
        <v>17</v>
      </c>
      <c r="U5" s="721">
        <f t="shared" si="0"/>
        <v>18</v>
      </c>
      <c r="V5" s="721">
        <f t="shared" si="0"/>
        <v>19</v>
      </c>
      <c r="W5" s="721">
        <f t="shared" si="0"/>
        <v>20</v>
      </c>
      <c r="X5" s="721">
        <f t="shared" si="0"/>
        <v>21</v>
      </c>
      <c r="Y5" s="721">
        <f t="shared" si="0"/>
        <v>22</v>
      </c>
      <c r="Z5" s="721">
        <f t="shared" si="0"/>
        <v>23</v>
      </c>
      <c r="AA5" s="721">
        <f t="shared" si="0"/>
        <v>24</v>
      </c>
      <c r="AB5" s="721">
        <f t="shared" si="0"/>
        <v>25</v>
      </c>
      <c r="AC5" s="721">
        <f t="shared" si="0"/>
        <v>26</v>
      </c>
      <c r="AD5" s="721">
        <f t="shared" si="0"/>
        <v>27</v>
      </c>
      <c r="AE5" s="721">
        <f t="shared" si="0"/>
        <v>28</v>
      </c>
      <c r="AF5" s="721">
        <f t="shared" si="0"/>
        <v>29</v>
      </c>
      <c r="AG5" s="721">
        <f t="shared" si="0"/>
        <v>30</v>
      </c>
      <c r="AH5" s="721">
        <f t="shared" si="0"/>
        <v>31</v>
      </c>
      <c r="AI5" s="721">
        <f t="shared" si="0"/>
        <v>32</v>
      </c>
      <c r="AJ5" s="722" t="s">
        <v>1035</v>
      </c>
      <c r="AK5" s="721" t="s">
        <v>59</v>
      </c>
    </row>
    <row r="6" spans="1:37" s="720" customFormat="1" x14ac:dyDescent="0.25">
      <c r="D6" s="723">
        <v>2016</v>
      </c>
      <c r="E6" s="723">
        <v>2017</v>
      </c>
      <c r="F6" s="723">
        <v>2018</v>
      </c>
      <c r="G6" s="721">
        <v>2019</v>
      </c>
      <c r="H6" s="721">
        <f t="shared" ref="H6:AI6" si="1">G6+1</f>
        <v>2020</v>
      </c>
      <c r="I6" s="721">
        <f t="shared" si="1"/>
        <v>2021</v>
      </c>
      <c r="J6" s="721">
        <f t="shared" si="1"/>
        <v>2022</v>
      </c>
      <c r="K6" s="721">
        <f t="shared" si="1"/>
        <v>2023</v>
      </c>
      <c r="L6" s="721">
        <f t="shared" si="1"/>
        <v>2024</v>
      </c>
      <c r="M6" s="721">
        <f t="shared" si="1"/>
        <v>2025</v>
      </c>
      <c r="N6" s="721">
        <f t="shared" si="1"/>
        <v>2026</v>
      </c>
      <c r="O6" s="721">
        <f t="shared" si="1"/>
        <v>2027</v>
      </c>
      <c r="P6" s="721">
        <f t="shared" si="1"/>
        <v>2028</v>
      </c>
      <c r="Q6" s="721">
        <f t="shared" si="1"/>
        <v>2029</v>
      </c>
      <c r="R6" s="721">
        <f t="shared" si="1"/>
        <v>2030</v>
      </c>
      <c r="S6" s="721">
        <f t="shared" si="1"/>
        <v>2031</v>
      </c>
      <c r="T6" s="721">
        <f t="shared" si="1"/>
        <v>2032</v>
      </c>
      <c r="U6" s="721">
        <f t="shared" si="1"/>
        <v>2033</v>
      </c>
      <c r="V6" s="721">
        <f t="shared" si="1"/>
        <v>2034</v>
      </c>
      <c r="W6" s="721">
        <f t="shared" si="1"/>
        <v>2035</v>
      </c>
      <c r="X6" s="721">
        <f t="shared" si="1"/>
        <v>2036</v>
      </c>
      <c r="Y6" s="721">
        <f t="shared" si="1"/>
        <v>2037</v>
      </c>
      <c r="Z6" s="721">
        <f t="shared" si="1"/>
        <v>2038</v>
      </c>
      <c r="AA6" s="721">
        <f t="shared" si="1"/>
        <v>2039</v>
      </c>
      <c r="AB6" s="721">
        <f t="shared" si="1"/>
        <v>2040</v>
      </c>
      <c r="AC6" s="721">
        <f t="shared" si="1"/>
        <v>2041</v>
      </c>
      <c r="AD6" s="721">
        <f t="shared" si="1"/>
        <v>2042</v>
      </c>
      <c r="AE6" s="721">
        <f t="shared" si="1"/>
        <v>2043</v>
      </c>
      <c r="AF6" s="721">
        <f t="shared" si="1"/>
        <v>2044</v>
      </c>
      <c r="AG6" s="721">
        <f t="shared" si="1"/>
        <v>2045</v>
      </c>
      <c r="AH6" s="721">
        <f t="shared" si="1"/>
        <v>2046</v>
      </c>
      <c r="AI6" s="721">
        <f t="shared" si="1"/>
        <v>2047</v>
      </c>
      <c r="AJ6" s="724"/>
    </row>
    <row r="7" spans="1:37" s="720" customFormat="1" x14ac:dyDescent="0.25">
      <c r="A7" s="721"/>
      <c r="B7" s="721"/>
      <c r="C7" s="721"/>
      <c r="AJ7" s="724"/>
    </row>
    <row r="8" spans="1:37" s="720" customFormat="1" x14ac:dyDescent="0.25">
      <c r="A8" s="725" t="s">
        <v>1036</v>
      </c>
      <c r="B8" s="721"/>
      <c r="C8" s="721"/>
      <c r="AJ8" s="724"/>
    </row>
    <row r="9" spans="1:37" s="720" customFormat="1" x14ac:dyDescent="0.25">
      <c r="A9" s="720" t="s">
        <v>1037</v>
      </c>
      <c r="C9" s="726"/>
      <c r="D9" s="726"/>
      <c r="E9" s="726"/>
      <c r="F9" s="726"/>
      <c r="G9" s="726"/>
      <c r="H9" s="726">
        <f>'[3]State of Good Repair'!$D$32</f>
        <v>413791.58123634005</v>
      </c>
      <c r="I9" s="726">
        <f>'[3]State of Good Repair'!$D$32</f>
        <v>413791.58123634005</v>
      </c>
      <c r="J9" s="726">
        <f>'[3]State of Good Repair'!$D$32</f>
        <v>413791.58123634005</v>
      </c>
      <c r="K9" s="726">
        <f>'[3]State of Good Repair'!$D$32</f>
        <v>413791.58123634005</v>
      </c>
      <c r="L9" s="726">
        <f>'[3]State of Good Repair'!$D$32</f>
        <v>413791.58123634005</v>
      </c>
      <c r="M9" s="726">
        <f>'[3]State of Good Repair'!$D$32</f>
        <v>413791.58123634005</v>
      </c>
      <c r="N9" s="726">
        <f>'[3]State of Good Repair'!$D$32</f>
        <v>413791.58123634005</v>
      </c>
      <c r="O9" s="726">
        <f>'[3]State of Good Repair'!$D$32</f>
        <v>413791.58123634005</v>
      </c>
      <c r="P9" s="726">
        <f>'[3]State of Good Repair'!$D$32</f>
        <v>413791.58123634005</v>
      </c>
      <c r="Q9" s="726">
        <f>'[3]State of Good Repair'!$D$32</f>
        <v>413791.58123634005</v>
      </c>
      <c r="R9" s="726">
        <f>'[3]State of Good Repair'!$D$32</f>
        <v>413791.58123634005</v>
      </c>
      <c r="S9" s="726">
        <f>'[3]State of Good Repair'!$D$32</f>
        <v>413791.58123634005</v>
      </c>
      <c r="T9" s="726">
        <f>'[3]State of Good Repair'!$D$32</f>
        <v>413791.58123634005</v>
      </c>
      <c r="U9" s="726">
        <f>'[3]State of Good Repair'!$D$32</f>
        <v>413791.58123634005</v>
      </c>
      <c r="V9" s="726">
        <f>'[3]State of Good Repair'!$D$32</f>
        <v>413791.58123634005</v>
      </c>
      <c r="W9" s="726">
        <f>'[3]State of Good Repair'!$D$32</f>
        <v>413791.58123634005</v>
      </c>
      <c r="X9" s="726">
        <f>'[3]State of Good Repair'!$D$32</f>
        <v>413791.58123634005</v>
      </c>
      <c r="Y9" s="726">
        <f>'[3]State of Good Repair'!$D$32</f>
        <v>413791.58123634005</v>
      </c>
      <c r="Z9" s="726">
        <f>'[3]State of Good Repair'!$D$32</f>
        <v>413791.58123634005</v>
      </c>
      <c r="AA9" s="726">
        <f>'[3]State of Good Repair'!$D$32</f>
        <v>413791.58123634005</v>
      </c>
      <c r="AB9" s="726">
        <f>'[3]State of Good Repair'!$D$32</f>
        <v>413791.58123634005</v>
      </c>
      <c r="AC9" s="726">
        <f>'[3]State of Good Repair'!$D$32</f>
        <v>413791.58123634005</v>
      </c>
      <c r="AD9" s="726">
        <f>'[3]State of Good Repair'!$D$32</f>
        <v>413791.58123634005</v>
      </c>
      <c r="AE9" s="726">
        <f>'[3]State of Good Repair'!$D$32</f>
        <v>413791.58123634005</v>
      </c>
      <c r="AF9" s="726">
        <f>'[3]State of Good Repair'!$D$32</f>
        <v>413791.58123634005</v>
      </c>
      <c r="AG9" s="726">
        <f>'[3]State of Good Repair'!$D$32</f>
        <v>413791.58123634005</v>
      </c>
      <c r="AH9" s="726">
        <f>'[3]State of Good Repair'!$D$32</f>
        <v>413791.58123634005</v>
      </c>
      <c r="AI9" s="726">
        <f>'[3]State of Good Repair'!$D$32</f>
        <v>413791.58123634005</v>
      </c>
      <c r="AJ9" s="727">
        <f>SUM(C9:AI9)</f>
        <v>11586164.274617521</v>
      </c>
    </row>
    <row r="10" spans="1:37" s="720" customFormat="1" x14ac:dyDescent="0.25">
      <c r="A10" s="720" t="s">
        <v>1038</v>
      </c>
      <c r="C10" s="726"/>
      <c r="D10" s="726"/>
      <c r="E10" s="726"/>
      <c r="F10" s="726"/>
      <c r="G10" s="726"/>
      <c r="H10" s="726">
        <f>'[3]State of Good Repair'!$H$32*(-1)</f>
        <v>-435604.1181939285</v>
      </c>
      <c r="I10" s="726">
        <f>'[3]State of Good Repair'!$H$32*(-1)</f>
        <v>-435604.1181939285</v>
      </c>
      <c r="J10" s="726">
        <f>'[3]State of Good Repair'!$H$32*(-1)</f>
        <v>-435604.1181939285</v>
      </c>
      <c r="K10" s="726">
        <f>'[3]State of Good Repair'!$H$32*(-1)</f>
        <v>-435604.1181939285</v>
      </c>
      <c r="L10" s="726">
        <f>'[3]State of Good Repair'!$H$32*(-1)</f>
        <v>-435604.1181939285</v>
      </c>
      <c r="M10" s="726">
        <f>'[3]State of Good Repair'!$H$32*(-1)</f>
        <v>-435604.1181939285</v>
      </c>
      <c r="N10" s="726">
        <f>'[3]State of Good Repair'!$H$32*(-1)</f>
        <v>-435604.1181939285</v>
      </c>
      <c r="O10" s="726">
        <f>'[3]State of Good Repair'!$H$32*(-1)</f>
        <v>-435604.1181939285</v>
      </c>
      <c r="P10" s="726">
        <f>'[3]State of Good Repair'!$H$32*(-1)</f>
        <v>-435604.1181939285</v>
      </c>
      <c r="Q10" s="726">
        <f>'[3]State of Good Repair'!$H$32*(-1)</f>
        <v>-435604.1181939285</v>
      </c>
      <c r="R10" s="726">
        <f>'[3]State of Good Repair'!$H$32*(-1)</f>
        <v>-435604.1181939285</v>
      </c>
      <c r="S10" s="726">
        <f>'[3]State of Good Repair'!$H$32*(-1)</f>
        <v>-435604.1181939285</v>
      </c>
      <c r="T10" s="726">
        <f>'[3]State of Good Repair'!$H$32*(-1)</f>
        <v>-435604.1181939285</v>
      </c>
      <c r="U10" s="726">
        <f>'[3]State of Good Repair'!$H$32*(-1)</f>
        <v>-435604.1181939285</v>
      </c>
      <c r="V10" s="726">
        <f>'[3]State of Good Repair'!$H$32*(-1)</f>
        <v>-435604.1181939285</v>
      </c>
      <c r="W10" s="726">
        <f>'[3]State of Good Repair'!$H$32*(-1)</f>
        <v>-435604.1181939285</v>
      </c>
      <c r="X10" s="726">
        <f>'[3]State of Good Repair'!$H$32*(-1)</f>
        <v>-435604.1181939285</v>
      </c>
      <c r="Y10" s="726">
        <f>'[3]State of Good Repair'!$H$32*(-1)</f>
        <v>-435604.1181939285</v>
      </c>
      <c r="Z10" s="726">
        <f>'[3]State of Good Repair'!$H$32*(-1)</f>
        <v>-435604.1181939285</v>
      </c>
      <c r="AA10" s="726">
        <f>'[3]State of Good Repair'!$H$32*(-1)</f>
        <v>-435604.1181939285</v>
      </c>
      <c r="AB10" s="726">
        <f>'[3]State of Good Repair'!$H$32*(-1)</f>
        <v>-435604.1181939285</v>
      </c>
      <c r="AC10" s="726">
        <f>'[3]State of Good Repair'!$H$32*(-1)</f>
        <v>-435604.1181939285</v>
      </c>
      <c r="AD10" s="726">
        <f>'[3]State of Good Repair'!$H$32*(-1)</f>
        <v>-435604.1181939285</v>
      </c>
      <c r="AE10" s="726">
        <f>'[3]State of Good Repair'!$H$32*(-1)</f>
        <v>-435604.1181939285</v>
      </c>
      <c r="AF10" s="726">
        <f>'[3]State of Good Repair'!$H$32*(-1)</f>
        <v>-435604.1181939285</v>
      </c>
      <c r="AG10" s="726">
        <f>'[3]State of Good Repair'!$H$32*(-1)</f>
        <v>-435604.1181939285</v>
      </c>
      <c r="AH10" s="726">
        <f>'[3]State of Good Repair'!$H$32*(-1)</f>
        <v>-435604.1181939285</v>
      </c>
      <c r="AI10" s="726">
        <f>'[3]State of Good Repair'!$H$32*(-1)</f>
        <v>-435604.1181939285</v>
      </c>
      <c r="AJ10" s="727">
        <f>SUM(C10:AI10)</f>
        <v>-12196915.309429992</v>
      </c>
    </row>
    <row r="11" spans="1:37" s="720" customFormat="1" x14ac:dyDescent="0.25">
      <c r="A11" s="720" t="s">
        <v>1039</v>
      </c>
      <c r="B11" s="720" t="s">
        <v>1040</v>
      </c>
      <c r="C11" s="726"/>
      <c r="D11" s="726"/>
      <c r="E11" s="726"/>
      <c r="F11" s="726"/>
      <c r="G11" s="726"/>
      <c r="H11" s="726">
        <v>70000</v>
      </c>
      <c r="I11" s="726">
        <v>70000</v>
      </c>
      <c r="J11" s="726">
        <v>70000</v>
      </c>
      <c r="K11" s="726">
        <v>70000</v>
      </c>
      <c r="L11" s="726">
        <v>70000</v>
      </c>
      <c r="M11" s="726">
        <v>70000</v>
      </c>
      <c r="N11" s="726">
        <v>70000</v>
      </c>
      <c r="O11" s="726">
        <v>70000</v>
      </c>
      <c r="P11" s="726">
        <v>70000</v>
      </c>
      <c r="Q11" s="726">
        <v>70000</v>
      </c>
      <c r="R11" s="726">
        <v>70000</v>
      </c>
      <c r="S11" s="726">
        <v>70000</v>
      </c>
      <c r="T11" s="726">
        <v>70000</v>
      </c>
      <c r="U11" s="726">
        <v>70000</v>
      </c>
      <c r="V11" s="726">
        <v>70000</v>
      </c>
      <c r="W11" s="726">
        <v>70000</v>
      </c>
      <c r="X11" s="726">
        <v>70000</v>
      </c>
      <c r="Y11" s="726">
        <v>70000</v>
      </c>
      <c r="Z11" s="726">
        <v>70000</v>
      </c>
      <c r="AA11" s="726">
        <v>70000</v>
      </c>
      <c r="AB11" s="726">
        <v>70000</v>
      </c>
      <c r="AC11" s="726">
        <v>70000</v>
      </c>
      <c r="AD11" s="726">
        <v>70000</v>
      </c>
      <c r="AE11" s="726">
        <v>70000</v>
      </c>
      <c r="AF11" s="726">
        <v>70000</v>
      </c>
      <c r="AG11" s="726">
        <v>70000</v>
      </c>
      <c r="AH11" s="726">
        <v>70000</v>
      </c>
      <c r="AI11" s="726">
        <v>70000</v>
      </c>
      <c r="AJ11" s="727">
        <f>SUM(C11:AI11)</f>
        <v>1960000</v>
      </c>
      <c r="AK11" s="720" t="s">
        <v>1041</v>
      </c>
    </row>
    <row r="12" spans="1:37" s="720" customFormat="1" x14ac:dyDescent="0.25">
      <c r="C12" s="726"/>
      <c r="D12" s="726"/>
      <c r="E12" s="726"/>
      <c r="F12" s="726"/>
      <c r="G12" s="726"/>
      <c r="H12" s="726"/>
      <c r="I12" s="726"/>
      <c r="J12" s="726"/>
      <c r="K12" s="726"/>
      <c r="L12" s="726"/>
      <c r="M12" s="726"/>
      <c r="N12" s="726"/>
      <c r="O12" s="726"/>
      <c r="P12" s="726"/>
      <c r="Q12" s="726"/>
      <c r="R12" s="726"/>
      <c r="S12" s="726"/>
      <c r="T12" s="726"/>
      <c r="U12" s="726"/>
      <c r="V12" s="726"/>
      <c r="W12" s="726"/>
      <c r="X12" s="726"/>
      <c r="Y12" s="726"/>
      <c r="Z12" s="726"/>
      <c r="AA12" s="726"/>
      <c r="AB12" s="726"/>
      <c r="AC12" s="726"/>
      <c r="AD12" s="726"/>
      <c r="AE12" s="726"/>
      <c r="AF12" s="726"/>
      <c r="AG12" s="726"/>
      <c r="AH12" s="726"/>
      <c r="AI12" s="726"/>
      <c r="AJ12" s="724"/>
    </row>
    <row r="13" spans="1:37" s="720" customFormat="1" x14ac:dyDescent="0.25">
      <c r="A13" s="728" t="s">
        <v>1042</v>
      </c>
      <c r="D13" s="729"/>
      <c r="E13" s="729"/>
      <c r="F13" s="729"/>
      <c r="G13" s="729"/>
      <c r="H13" s="729">
        <f>SUM(H9:H11)</f>
        <v>48187.463042411546</v>
      </c>
      <c r="I13" s="729">
        <f t="shared" ref="I13:AI13" si="2">SUM(I9:I11)</f>
        <v>48187.463042411546</v>
      </c>
      <c r="J13" s="729">
        <f t="shared" si="2"/>
        <v>48187.463042411546</v>
      </c>
      <c r="K13" s="729">
        <f t="shared" si="2"/>
        <v>48187.463042411546</v>
      </c>
      <c r="L13" s="729">
        <f t="shared" si="2"/>
        <v>48187.463042411546</v>
      </c>
      <c r="M13" s="729">
        <f t="shared" si="2"/>
        <v>48187.463042411546</v>
      </c>
      <c r="N13" s="729">
        <f t="shared" si="2"/>
        <v>48187.463042411546</v>
      </c>
      <c r="O13" s="729">
        <f t="shared" si="2"/>
        <v>48187.463042411546</v>
      </c>
      <c r="P13" s="729">
        <f t="shared" si="2"/>
        <v>48187.463042411546</v>
      </c>
      <c r="Q13" s="729">
        <f t="shared" si="2"/>
        <v>48187.463042411546</v>
      </c>
      <c r="R13" s="729">
        <f t="shared" si="2"/>
        <v>48187.463042411546</v>
      </c>
      <c r="S13" s="729">
        <f t="shared" si="2"/>
        <v>48187.463042411546</v>
      </c>
      <c r="T13" s="729">
        <f t="shared" si="2"/>
        <v>48187.463042411546</v>
      </c>
      <c r="U13" s="729">
        <f t="shared" si="2"/>
        <v>48187.463042411546</v>
      </c>
      <c r="V13" s="729">
        <f t="shared" si="2"/>
        <v>48187.463042411546</v>
      </c>
      <c r="W13" s="729">
        <f t="shared" si="2"/>
        <v>48187.463042411546</v>
      </c>
      <c r="X13" s="729">
        <f t="shared" si="2"/>
        <v>48187.463042411546</v>
      </c>
      <c r="Y13" s="729">
        <f t="shared" si="2"/>
        <v>48187.463042411546</v>
      </c>
      <c r="Z13" s="729">
        <f t="shared" si="2"/>
        <v>48187.463042411546</v>
      </c>
      <c r="AA13" s="729">
        <f t="shared" si="2"/>
        <v>48187.463042411546</v>
      </c>
      <c r="AB13" s="729">
        <f t="shared" si="2"/>
        <v>48187.463042411546</v>
      </c>
      <c r="AC13" s="729">
        <f t="shared" si="2"/>
        <v>48187.463042411546</v>
      </c>
      <c r="AD13" s="729">
        <f t="shared" si="2"/>
        <v>48187.463042411546</v>
      </c>
      <c r="AE13" s="729">
        <f t="shared" si="2"/>
        <v>48187.463042411546</v>
      </c>
      <c r="AF13" s="729">
        <f t="shared" si="2"/>
        <v>48187.463042411546</v>
      </c>
      <c r="AG13" s="729">
        <f t="shared" si="2"/>
        <v>48187.463042411546</v>
      </c>
      <c r="AH13" s="729">
        <f t="shared" si="2"/>
        <v>48187.463042411546</v>
      </c>
      <c r="AI13" s="729">
        <f t="shared" si="2"/>
        <v>48187.463042411546</v>
      </c>
      <c r="AJ13" s="724">
        <f>SUM(H13:AI13)</f>
        <v>1349248.9651875223</v>
      </c>
    </row>
    <row r="14" spans="1:37" s="720" customFormat="1" x14ac:dyDescent="0.25">
      <c r="A14" s="721"/>
      <c r="B14" s="721"/>
      <c r="C14" s="721"/>
      <c r="AJ14" s="724"/>
    </row>
    <row r="15" spans="1:37" s="720" customFormat="1" x14ac:dyDescent="0.25">
      <c r="A15" s="728" t="s">
        <v>1043</v>
      </c>
      <c r="AJ15" s="724"/>
    </row>
    <row r="16" spans="1:37" s="720" customFormat="1" x14ac:dyDescent="0.25">
      <c r="A16" s="720" t="s">
        <v>1044</v>
      </c>
      <c r="B16" s="720">
        <v>0.33</v>
      </c>
      <c r="C16" s="720" t="s">
        <v>377</v>
      </c>
      <c r="AJ16" s="724"/>
      <c r="AK16" s="720" t="s">
        <v>1045</v>
      </c>
    </row>
    <row r="17" spans="1:37" s="720" customFormat="1" x14ac:dyDescent="0.25">
      <c r="A17" s="720" t="s">
        <v>1046</v>
      </c>
      <c r="D17" s="730"/>
      <c r="E17" s="730"/>
      <c r="F17" s="730"/>
      <c r="G17" s="730"/>
      <c r="H17" s="731">
        <f>$B$16*H26</f>
        <v>23321.603050245172</v>
      </c>
      <c r="I17" s="730">
        <f t="shared" ref="I17:AI17" si="3">$B$16*I26</f>
        <v>24624.414610314256</v>
      </c>
      <c r="J17" s="730">
        <f t="shared" si="3"/>
        <v>24863.784910705435</v>
      </c>
      <c r="K17" s="730">
        <f t="shared" si="3"/>
        <v>25105.54194158359</v>
      </c>
      <c r="L17" s="730">
        <f t="shared" si="3"/>
        <v>25349.709794026046</v>
      </c>
      <c r="M17" s="730">
        <f t="shared" si="3"/>
        <v>25596.312803680888</v>
      </c>
      <c r="N17" s="730">
        <f t="shared" si="3"/>
        <v>25845.375553256508</v>
      </c>
      <c r="O17" s="730">
        <f t="shared" si="3"/>
        <v>26096.922875036405</v>
      </c>
      <c r="P17" s="730">
        <f t="shared" si="3"/>
        <v>26350.979853419685</v>
      </c>
      <c r="Q17" s="730">
        <f t="shared" si="3"/>
        <v>26607.571827487409</v>
      </c>
      <c r="R17" s="730">
        <f t="shared" si="3"/>
        <v>26866.724393595148</v>
      </c>
      <c r="S17" s="730">
        <f t="shared" si="3"/>
        <v>27128.463407991909</v>
      </c>
      <c r="T17" s="730">
        <f t="shared" si="3"/>
        <v>27392.814989465787</v>
      </c>
      <c r="U17" s="730">
        <f t="shared" si="3"/>
        <v>27659.80552201657</v>
      </c>
      <c r="V17" s="730">
        <f t="shared" si="3"/>
        <v>27929.461657555577</v>
      </c>
      <c r="W17" s="730">
        <f t="shared" si="3"/>
        <v>28201.810318633012</v>
      </c>
      <c r="X17" s="730">
        <f t="shared" si="3"/>
        <v>28476.87870119312</v>
      </c>
      <c r="Y17" s="730">
        <f t="shared" si="3"/>
        <v>28754.69427735743</v>
      </c>
      <c r="Z17" s="730">
        <f t="shared" si="3"/>
        <v>29035.284798236382</v>
      </c>
      <c r="AA17" s="730">
        <f t="shared" si="3"/>
        <v>29318.678296769518</v>
      </c>
      <c r="AB17" s="730">
        <f t="shared" si="3"/>
        <v>29604.903090594773</v>
      </c>
      <c r="AC17" s="730">
        <f t="shared" si="3"/>
        <v>29893.987784946858</v>
      </c>
      <c r="AD17" s="730">
        <f t="shared" si="3"/>
        <v>30185.961275585316</v>
      </c>
      <c r="AE17" s="730">
        <f t="shared" si="3"/>
        <v>30480.852751752278</v>
      </c>
      <c r="AF17" s="730">
        <f t="shared" si="3"/>
        <v>30778.691699160525</v>
      </c>
      <c r="AG17" s="730">
        <f t="shared" si="3"/>
        <v>31079.507903011909</v>
      </c>
      <c r="AH17" s="730">
        <f t="shared" si="3"/>
        <v>31383.331451046502</v>
      </c>
      <c r="AI17" s="730">
        <f t="shared" si="3"/>
        <v>31690.192736622961</v>
      </c>
      <c r="AJ17" s="732">
        <f>SUM(H17:AI17)</f>
        <v>779624.26227529102</v>
      </c>
    </row>
    <row r="18" spans="1:37" s="720" customFormat="1" x14ac:dyDescent="0.25">
      <c r="A18" s="720" t="s">
        <v>1047</v>
      </c>
      <c r="B18" s="733">
        <v>3.57</v>
      </c>
      <c r="D18" s="730"/>
      <c r="E18" s="730"/>
      <c r="F18" s="730"/>
      <c r="G18" s="730"/>
      <c r="H18" s="730"/>
      <c r="I18" s="730"/>
      <c r="J18" s="730"/>
      <c r="K18" s="730"/>
      <c r="L18" s="730"/>
      <c r="M18" s="730"/>
      <c r="N18" s="730"/>
      <c r="O18" s="730"/>
      <c r="P18" s="730"/>
      <c r="Q18" s="730"/>
      <c r="R18" s="730"/>
      <c r="S18" s="730"/>
      <c r="T18" s="730"/>
      <c r="U18" s="730"/>
      <c r="V18" s="730"/>
      <c r="W18" s="730"/>
      <c r="X18" s="730"/>
      <c r="Y18" s="730"/>
      <c r="Z18" s="730"/>
      <c r="AA18" s="730"/>
      <c r="AB18" s="730"/>
      <c r="AC18" s="730"/>
      <c r="AD18" s="730"/>
      <c r="AE18" s="730"/>
      <c r="AF18" s="730"/>
      <c r="AG18" s="730"/>
      <c r="AH18" s="730"/>
      <c r="AI18" s="730"/>
      <c r="AJ18" s="724"/>
    </row>
    <row r="19" spans="1:37" s="720" customFormat="1" x14ac:dyDescent="0.25">
      <c r="A19" s="734" t="s">
        <v>1048</v>
      </c>
      <c r="B19" s="735">
        <v>0.02</v>
      </c>
      <c r="C19" s="720" t="s">
        <v>1049</v>
      </c>
      <c r="D19" s="727"/>
      <c r="E19" s="727"/>
      <c r="F19" s="727"/>
      <c r="G19" s="727"/>
      <c r="H19" s="727">
        <f t="shared" ref="H19:AI19" si="4">H$17*$B$18*(1+$B$19^(H$6-2013))</f>
        <v>83258.122889481834</v>
      </c>
      <c r="I19" s="727">
        <f t="shared" si="4"/>
        <v>87909.160158824132</v>
      </c>
      <c r="J19" s="727">
        <f t="shared" si="4"/>
        <v>88763.712131218446</v>
      </c>
      <c r="K19" s="727">
        <f t="shared" si="4"/>
        <v>89626.784731453416</v>
      </c>
      <c r="L19" s="727">
        <f t="shared" si="4"/>
        <v>90498.463964672977</v>
      </c>
      <c r="M19" s="727">
        <f t="shared" si="4"/>
        <v>91378.836709140771</v>
      </c>
      <c r="N19" s="727">
        <f t="shared" si="4"/>
        <v>92267.990725125725</v>
      </c>
      <c r="O19" s="727">
        <f t="shared" si="4"/>
        <v>93166.014663879963</v>
      </c>
      <c r="P19" s="727">
        <f t="shared" si="4"/>
        <v>94072.998076708274</v>
      </c>
      <c r="Q19" s="727">
        <f t="shared" si="4"/>
        <v>94989.031424130051</v>
      </c>
      <c r="R19" s="727">
        <f t="shared" si="4"/>
        <v>95914.206085134676</v>
      </c>
      <c r="S19" s="727">
        <f t="shared" si="4"/>
        <v>96848.61436653111</v>
      </c>
      <c r="T19" s="727">
        <f t="shared" si="4"/>
        <v>97792.349512392859</v>
      </c>
      <c r="U19" s="727">
        <f t="shared" si="4"/>
        <v>98745.505713599152</v>
      </c>
      <c r="V19" s="727">
        <f t="shared" si="4"/>
        <v>99708.178117473406</v>
      </c>
      <c r="W19" s="727">
        <f t="shared" si="4"/>
        <v>100680.46283751985</v>
      </c>
      <c r="X19" s="727">
        <f t="shared" si="4"/>
        <v>101662.45696325944</v>
      </c>
      <c r="Y19" s="727">
        <f t="shared" si="4"/>
        <v>102654.25857016601</v>
      </c>
      <c r="Z19" s="727">
        <f t="shared" si="4"/>
        <v>103655.96672970388</v>
      </c>
      <c r="AA19" s="727">
        <f t="shared" si="4"/>
        <v>104667.68151946718</v>
      </c>
      <c r="AB19" s="727">
        <f t="shared" si="4"/>
        <v>105689.50403342333</v>
      </c>
      <c r="AC19" s="727">
        <f t="shared" si="4"/>
        <v>106721.53639226027</v>
      </c>
      <c r="AD19" s="727">
        <f t="shared" si="4"/>
        <v>107763.88175383957</v>
      </c>
      <c r="AE19" s="727">
        <f t="shared" si="4"/>
        <v>108816.64432375562</v>
      </c>
      <c r="AF19" s="727">
        <f t="shared" si="4"/>
        <v>109879.92936600307</v>
      </c>
      <c r="AG19" s="727">
        <f t="shared" si="4"/>
        <v>110953.84321375251</v>
      </c>
      <c r="AH19" s="727">
        <f t="shared" si="4"/>
        <v>112038.49328023601</v>
      </c>
      <c r="AI19" s="727">
        <f t="shared" si="4"/>
        <v>113133.98806974397</v>
      </c>
      <c r="AJ19" s="727">
        <f>SUM(H19:AI19)</f>
        <v>2783258.6163228974</v>
      </c>
    </row>
    <row r="20" spans="1:37" s="720" customFormat="1" x14ac:dyDescent="0.25">
      <c r="D20" s="736"/>
      <c r="E20" s="736"/>
      <c r="F20" s="736"/>
      <c r="G20" s="736"/>
      <c r="H20" s="736"/>
      <c r="I20" s="736"/>
      <c r="J20" s="736"/>
      <c r="K20" s="736"/>
      <c r="L20" s="736"/>
      <c r="M20" s="736"/>
      <c r="N20" s="736"/>
      <c r="O20" s="736"/>
      <c r="P20" s="736"/>
      <c r="Q20" s="736"/>
      <c r="R20" s="736"/>
      <c r="S20" s="736"/>
      <c r="T20" s="736"/>
      <c r="U20" s="736"/>
      <c r="V20" s="736"/>
      <c r="W20" s="736"/>
      <c r="X20" s="736"/>
      <c r="Y20" s="736"/>
      <c r="Z20" s="736"/>
      <c r="AA20" s="736"/>
      <c r="AB20" s="736"/>
      <c r="AC20" s="736"/>
      <c r="AD20" s="736"/>
      <c r="AE20" s="736"/>
      <c r="AF20" s="736"/>
      <c r="AG20" s="736"/>
      <c r="AH20" s="736"/>
      <c r="AI20" s="736"/>
      <c r="AJ20" s="724"/>
    </row>
    <row r="21" spans="1:37" s="737" customFormat="1" x14ac:dyDescent="0.25">
      <c r="A21" s="737" t="s">
        <v>1050</v>
      </c>
      <c r="B21" s="737">
        <v>0.8</v>
      </c>
      <c r="C21" s="737" t="s">
        <v>377</v>
      </c>
      <c r="AJ21" s="738"/>
      <c r="AK21" s="737" t="s">
        <v>1051</v>
      </c>
    </row>
    <row r="22" spans="1:37" s="739" customFormat="1" x14ac:dyDescent="0.25">
      <c r="A22" s="739" t="s">
        <v>1052</v>
      </c>
      <c r="H22" s="739">
        <f t="shared" ref="H22:AI22" si="5">$B$21*H27</f>
        <v>4281.0219587881456</v>
      </c>
      <c r="I22" s="739">
        <f t="shared" si="5"/>
        <v>5699.9597957560291</v>
      </c>
      <c r="J22" s="739">
        <f t="shared" si="5"/>
        <v>5778.0673771495085</v>
      </c>
      <c r="K22" s="739">
        <f t="shared" si="5"/>
        <v>5857.6630699159432</v>
      </c>
      <c r="L22" s="739">
        <f t="shared" si="5"/>
        <v>5938.778331726221</v>
      </c>
      <c r="M22" s="739">
        <f t="shared" si="5"/>
        <v>6021.4453018541581</v>
      </c>
      <c r="N22" s="739">
        <f t="shared" si="5"/>
        <v>6105.6968160250344</v>
      </c>
      <c r="O22" s="739">
        <f t="shared" si="5"/>
        <v>6191.5664215879879</v>
      </c>
      <c r="P22" s="739">
        <f t="shared" si="5"/>
        <v>6279.0883930193113</v>
      </c>
      <c r="Q22" s="739">
        <f t="shared" si="5"/>
        <v>6368.2977477638897</v>
      </c>
      <c r="R22" s="739">
        <f t="shared" si="5"/>
        <v>6459.2302624221447</v>
      </c>
      <c r="S22" s="739">
        <f t="shared" si="5"/>
        <v>6551.9224892900193</v>
      </c>
      <c r="T22" s="739">
        <f t="shared" si="5"/>
        <v>6646.4117732597169</v>
      </c>
      <c r="U22" s="739">
        <f t="shared" si="5"/>
        <v>6742.7362690890513</v>
      </c>
      <c r="V22" s="739">
        <f t="shared" si="5"/>
        <v>6840.9349590474685</v>
      </c>
      <c r="W22" s="739">
        <f t="shared" si="5"/>
        <v>6941.0476709469267</v>
      </c>
      <c r="X22" s="739">
        <f t="shared" si="5"/>
        <v>7043.1150965660681</v>
      </c>
      <c r="Y22" s="739">
        <f t="shared" si="5"/>
        <v>7147.17881047623</v>
      </c>
      <c r="Z22" s="739">
        <f t="shared" si="5"/>
        <v>7253.2812892780712</v>
      </c>
      <c r="AA22" s="739">
        <f t="shared" si="5"/>
        <v>7361.4659312578051</v>
      </c>
      <c r="AB22" s="739">
        <f t="shared" si="5"/>
        <v>7471.7770764721181</v>
      </c>
      <c r="AC22" s="739">
        <f t="shared" si="5"/>
        <v>7584.2600272712098</v>
      </c>
      <c r="AD22" s="739">
        <f t="shared" si="5"/>
        <v>7698.9610692694514</v>
      </c>
      <c r="AE22" s="739">
        <f t="shared" si="5"/>
        <v>7815.9274927734659</v>
      </c>
      <c r="AF22" s="739">
        <f t="shared" si="5"/>
        <v>7935.2076146775726</v>
      </c>
      <c r="AG22" s="739">
        <f t="shared" si="5"/>
        <v>8056.850800836849</v>
      </c>
      <c r="AH22" s="739">
        <f t="shared" si="5"/>
        <v>8180.9074889281446</v>
      </c>
      <c r="AI22" s="739">
        <f t="shared" si="5"/>
        <v>8307.4292118097856</v>
      </c>
      <c r="AJ22" s="732">
        <f>SUM(H22:AI22)</f>
        <v>190560.23054725834</v>
      </c>
    </row>
    <row r="23" spans="1:37" s="720" customFormat="1" x14ac:dyDescent="0.25">
      <c r="A23" s="720" t="s">
        <v>1053</v>
      </c>
      <c r="B23" s="733">
        <v>3.93</v>
      </c>
      <c r="D23" s="736"/>
      <c r="E23" s="736"/>
      <c r="F23" s="736"/>
      <c r="G23" s="736"/>
      <c r="H23" s="736"/>
      <c r="I23" s="736"/>
      <c r="J23" s="736"/>
      <c r="K23" s="736"/>
      <c r="L23" s="736"/>
      <c r="M23" s="736"/>
      <c r="N23" s="736"/>
      <c r="O23" s="736"/>
      <c r="P23" s="736"/>
      <c r="Q23" s="736"/>
      <c r="R23" s="736"/>
      <c r="S23" s="736"/>
      <c r="T23" s="736"/>
      <c r="U23" s="736"/>
      <c r="V23" s="736"/>
      <c r="W23" s="736"/>
      <c r="X23" s="736"/>
      <c r="Y23" s="736"/>
      <c r="Z23" s="736"/>
      <c r="AA23" s="736"/>
      <c r="AB23" s="736"/>
      <c r="AC23" s="736"/>
      <c r="AD23" s="736"/>
      <c r="AE23" s="736"/>
      <c r="AF23" s="736"/>
      <c r="AG23" s="736"/>
      <c r="AH23" s="736"/>
      <c r="AI23" s="736"/>
      <c r="AJ23" s="724"/>
    </row>
    <row r="24" spans="1:37" s="720" customFormat="1" x14ac:dyDescent="0.25">
      <c r="A24" s="734" t="s">
        <v>1054</v>
      </c>
      <c r="B24" s="740">
        <v>0.02</v>
      </c>
      <c r="C24" s="720" t="s">
        <v>1049</v>
      </c>
      <c r="D24" s="727"/>
      <c r="E24" s="727"/>
      <c r="F24" s="727"/>
      <c r="G24" s="727"/>
      <c r="H24" s="727">
        <f t="shared" ref="H24:AI24" si="6">H$22*$B$23*(1+$B$24^(H$6-2013))</f>
        <v>16824.41629805895</v>
      </c>
      <c r="I24" s="727">
        <f>I$22*$B$23*(1+$B$24^(I$6-2013))</f>
        <v>22400.841997321768</v>
      </c>
      <c r="J24" s="727">
        <f t="shared" si="6"/>
        <v>22707.804792197581</v>
      </c>
      <c r="K24" s="727">
        <f t="shared" si="6"/>
        <v>23020.615864769657</v>
      </c>
      <c r="L24" s="727">
        <f t="shared" si="6"/>
        <v>23339.398843684048</v>
      </c>
      <c r="M24" s="727">
        <f t="shared" si="6"/>
        <v>23664.280036286844</v>
      </c>
      <c r="N24" s="727">
        <f t="shared" si="6"/>
        <v>23995.388486978387</v>
      </c>
      <c r="O24" s="727">
        <f t="shared" si="6"/>
        <v>24332.856036840793</v>
      </c>
      <c r="P24" s="727">
        <f t="shared" si="6"/>
        <v>24676.817384565893</v>
      </c>
      <c r="Q24" s="727">
        <f t="shared" si="6"/>
        <v>25027.410148712086</v>
      </c>
      <c r="R24" s="727">
        <f t="shared" si="6"/>
        <v>25384.774931319029</v>
      </c>
      <c r="S24" s="727">
        <f t="shared" si="6"/>
        <v>25749.055382909777</v>
      </c>
      <c r="T24" s="727">
        <f t="shared" si="6"/>
        <v>26120.398268910689</v>
      </c>
      <c r="U24" s="727">
        <f t="shared" si="6"/>
        <v>26498.953537519974</v>
      </c>
      <c r="V24" s="727">
        <f t="shared" si="6"/>
        <v>26884.874389056553</v>
      </c>
      <c r="W24" s="727">
        <f t="shared" si="6"/>
        <v>27278.317346821423</v>
      </c>
      <c r="X24" s="727">
        <f t="shared" si="6"/>
        <v>27679.442329504647</v>
      </c>
      <c r="Y24" s="727">
        <f t="shared" si="6"/>
        <v>28088.412725171584</v>
      </c>
      <c r="Z24" s="727">
        <f t="shared" si="6"/>
        <v>28505.395466862821</v>
      </c>
      <c r="AA24" s="727">
        <f t="shared" si="6"/>
        <v>28930.561109843176</v>
      </c>
      <c r="AB24" s="727">
        <f t="shared" si="6"/>
        <v>29364.083910535424</v>
      </c>
      <c r="AC24" s="727">
        <f t="shared" si="6"/>
        <v>29806.141907175857</v>
      </c>
      <c r="AD24" s="727">
        <f t="shared" si="6"/>
        <v>30256.917002228944</v>
      </c>
      <c r="AE24" s="727">
        <f t="shared" si="6"/>
        <v>30716.595046599723</v>
      </c>
      <c r="AF24" s="727">
        <f t="shared" si="6"/>
        <v>31185.365925682861</v>
      </c>
      <c r="AG24" s="727">
        <f t="shared" si="6"/>
        <v>31663.423647288819</v>
      </c>
      <c r="AH24" s="727">
        <f t="shared" si="6"/>
        <v>32150.96643148761</v>
      </c>
      <c r="AI24" s="727">
        <f t="shared" si="6"/>
        <v>32648.196802412458</v>
      </c>
      <c r="AJ24" s="727">
        <f>SUM(H24:AI24)</f>
        <v>748901.70605074731</v>
      </c>
    </row>
    <row r="25" spans="1:37" s="720" customFormat="1" x14ac:dyDescent="0.25">
      <c r="D25" s="730"/>
      <c r="E25" s="730"/>
      <c r="F25" s="730"/>
      <c r="G25" s="730"/>
      <c r="H25" s="730"/>
      <c r="I25" s="730"/>
      <c r="J25" s="730"/>
      <c r="K25" s="730"/>
      <c r="L25" s="730"/>
      <c r="M25" s="730"/>
      <c r="N25" s="730"/>
      <c r="O25" s="730"/>
      <c r="P25" s="730"/>
      <c r="Q25" s="730"/>
      <c r="R25" s="730"/>
      <c r="S25" s="730"/>
      <c r="T25" s="730"/>
      <c r="U25" s="730"/>
      <c r="V25" s="730"/>
      <c r="W25" s="730"/>
      <c r="X25" s="730"/>
      <c r="Y25" s="730"/>
      <c r="Z25" s="730"/>
      <c r="AA25" s="730"/>
      <c r="AB25" s="730"/>
      <c r="AC25" s="730"/>
      <c r="AD25" s="730"/>
      <c r="AE25" s="730"/>
      <c r="AF25" s="730"/>
      <c r="AG25" s="730"/>
      <c r="AH25" s="730"/>
      <c r="AI25" s="730"/>
      <c r="AJ25" s="724"/>
    </row>
    <row r="26" spans="1:37" s="720" customFormat="1" x14ac:dyDescent="0.25">
      <c r="A26" s="720" t="s">
        <v>1055</v>
      </c>
      <c r="B26" s="741"/>
      <c r="C26" s="742"/>
      <c r="D26" s="739"/>
      <c r="E26" s="739"/>
      <c r="F26" s="739"/>
      <c r="G26" s="739"/>
      <c r="H26" s="739">
        <f>'[3]Econ. Comp.'!M27</f>
        <v>70671.524394682332</v>
      </c>
      <c r="I26" s="739">
        <f>'[3]Econ. Comp.'!N27</f>
        <v>74619.438213073503</v>
      </c>
      <c r="J26" s="739">
        <f>'[3]Econ. Comp.'!O27</f>
        <v>75344.802759713435</v>
      </c>
      <c r="K26" s="739">
        <f>'[3]Econ. Comp.'!P27</f>
        <v>76077.399822980573</v>
      </c>
      <c r="L26" s="739">
        <f>'[3]Econ. Comp.'!Q27</f>
        <v>76817.302406139526</v>
      </c>
      <c r="M26" s="739">
        <f>'[3]Econ. Comp.'!R27</f>
        <v>77564.584253578447</v>
      </c>
      <c r="N26" s="739">
        <f>'[3]Econ. Comp.'!S27</f>
        <v>78319.319858353047</v>
      </c>
      <c r="O26" s="739">
        <f>'[3]Econ. Comp.'!T27</f>
        <v>79081.584469807291</v>
      </c>
      <c r="P26" s="739">
        <f>'[3]Econ. Comp.'!U27</f>
        <v>79851.454101271767</v>
      </c>
      <c r="Q26" s="739">
        <f>'[3]Econ. Comp.'!V27</f>
        <v>80629.005537840625</v>
      </c>
      <c r="R26" s="739">
        <f>'[3]Econ. Comp.'!W27</f>
        <v>81414.316344227715</v>
      </c>
      <c r="S26" s="739">
        <f>'[3]Econ. Comp.'!X27</f>
        <v>82207.464872702752</v>
      </c>
      <c r="T26" s="739">
        <f>'[3]Econ. Comp.'!Y27</f>
        <v>83008.530271108437</v>
      </c>
      <c r="U26" s="739">
        <f>'[3]Econ. Comp.'!Z27</f>
        <v>83817.592490959301</v>
      </c>
      <c r="V26" s="739">
        <f>'[3]Econ. Comp.'!AA27</f>
        <v>84634.732295622962</v>
      </c>
      <c r="W26" s="739">
        <f>'[3]Econ. Comp.'!AB27</f>
        <v>85460.031268584877</v>
      </c>
      <c r="X26" s="739">
        <f>'[3]Econ. Comp.'!AC27</f>
        <v>86293.571821797334</v>
      </c>
      <c r="Y26" s="739">
        <f>'[3]Econ. Comp.'!AD27</f>
        <v>87135.437204113419</v>
      </c>
      <c r="Z26" s="739">
        <f>'[3]Econ. Comp.'!AE27</f>
        <v>87985.71150980721</v>
      </c>
      <c r="AA26" s="739">
        <f>'[3]Econ. Comp.'!AF27</f>
        <v>88844.479687180356</v>
      </c>
      <c r="AB26" s="739">
        <f>'[3]Econ. Comp.'!AG27</f>
        <v>89711.827547256878</v>
      </c>
      <c r="AC26" s="739">
        <f>'[3]Econ. Comp.'!AH27</f>
        <v>90587.841772566229</v>
      </c>
      <c r="AD26" s="739">
        <f>'[3]Econ. Comp.'!AI27</f>
        <v>91472.609926016099</v>
      </c>
      <c r="AE26" s="739">
        <f>'[3]Econ. Comp.'!AJ27</f>
        <v>92366.22045985538</v>
      </c>
      <c r="AF26" s="739">
        <f>'[3]Econ. Comp.'!AK27</f>
        <v>93268.762724728862</v>
      </c>
      <c r="AG26" s="739">
        <f>'[3]Econ. Comp.'!AL27</f>
        <v>94180.326978823956</v>
      </c>
      <c r="AH26" s="739">
        <f>'[3]Econ. Comp.'!AM27</f>
        <v>95101.004397110606</v>
      </c>
      <c r="AI26" s="739">
        <f>'[3]Econ. Comp.'!AN27</f>
        <v>96030.887080675631</v>
      </c>
      <c r="AJ26" s="732">
        <f>SUM(H26:AI26)</f>
        <v>2362497.7644705786</v>
      </c>
    </row>
    <row r="27" spans="1:37" s="720" customFormat="1" x14ac:dyDescent="0.25">
      <c r="A27" s="720" t="s">
        <v>1056</v>
      </c>
      <c r="B27" s="743"/>
      <c r="C27" s="742"/>
      <c r="D27" s="739"/>
      <c r="E27" s="739"/>
      <c r="F27" s="739"/>
      <c r="G27" s="739"/>
      <c r="H27" s="739">
        <f>'[3]Econ. Comp.'!M28</f>
        <v>5351.2774484851816</v>
      </c>
      <c r="I27" s="739">
        <f>'[3]Econ. Comp.'!N28</f>
        <v>7124.9497446950354</v>
      </c>
      <c r="J27" s="739">
        <f>'[3]Econ. Comp.'!O28</f>
        <v>7222.5842214368849</v>
      </c>
      <c r="K27" s="739">
        <f>'[3]Econ. Comp.'!P28</f>
        <v>7322.0788373949281</v>
      </c>
      <c r="L27" s="739">
        <f>'[3]Econ. Comp.'!Q28</f>
        <v>7423.4729146577756</v>
      </c>
      <c r="M27" s="739">
        <f>'[3]Econ. Comp.'!R28</f>
        <v>7526.8066273176973</v>
      </c>
      <c r="N27" s="739">
        <f>'[3]Econ. Comp.'!S28</f>
        <v>7632.1210200312926</v>
      </c>
      <c r="O27" s="739">
        <f>'[3]Econ. Comp.'!T28</f>
        <v>7739.4580269849848</v>
      </c>
      <c r="P27" s="739">
        <f>'[3]Econ. Comp.'!U28</f>
        <v>7848.8604912741384</v>
      </c>
      <c r="Q27" s="739">
        <f>'[3]Econ. Comp.'!V28</f>
        <v>7960.3721847048619</v>
      </c>
      <c r="R27" s="739">
        <f>'[3]Econ. Comp.'!W28</f>
        <v>8074.0378280276809</v>
      </c>
      <c r="S27" s="739">
        <f>'[3]Econ. Comp.'!X28</f>
        <v>8189.9031116125234</v>
      </c>
      <c r="T27" s="739">
        <f>'[3]Econ. Comp.'!Y28</f>
        <v>8308.0147165746457</v>
      </c>
      <c r="U27" s="739">
        <f>'[3]Econ. Comp.'!Z28</f>
        <v>8428.4203363613142</v>
      </c>
      <c r="V27" s="739">
        <f>'[3]Econ. Comp.'!AA28</f>
        <v>8551.1686988093352</v>
      </c>
      <c r="W27" s="739">
        <f>'[3]Econ. Comp.'!AB28</f>
        <v>8676.3095886836581</v>
      </c>
      <c r="X27" s="739">
        <f>'[3]Econ. Comp.'!AC28</f>
        <v>8803.8938707075849</v>
      </c>
      <c r="Y27" s="739">
        <f>'[3]Econ. Comp.'!AD28</f>
        <v>8933.9735130952868</v>
      </c>
      <c r="Z27" s="739">
        <f>'[3]Econ. Comp.'!AE28</f>
        <v>9066.601611597589</v>
      </c>
      <c r="AA27" s="739">
        <f>'[3]Econ. Comp.'!AF28</f>
        <v>9201.8324140722561</v>
      </c>
      <c r="AB27" s="739">
        <f>'[3]Econ. Comp.'!AG28</f>
        <v>9339.7213455901474</v>
      </c>
      <c r="AC27" s="739">
        <f>'[3]Econ. Comp.'!AH28</f>
        <v>9480.3250340890118</v>
      </c>
      <c r="AD27" s="739">
        <f>'[3]Econ. Comp.'!AI28</f>
        <v>9623.7013365868133</v>
      </c>
      <c r="AE27" s="739">
        <f>'[3]Econ. Comp.'!AJ28</f>
        <v>9769.9093659668324</v>
      </c>
      <c r="AF27" s="739">
        <f>'[3]Econ. Comp.'!AK28</f>
        <v>9919.0095183469657</v>
      </c>
      <c r="AG27" s="739">
        <f>'[3]Econ. Comp.'!AL28</f>
        <v>10071.063501046061</v>
      </c>
      <c r="AH27" s="739">
        <f>'[3]Econ. Comp.'!AM28</f>
        <v>10226.134361160181</v>
      </c>
      <c r="AI27" s="739">
        <f>'[3]Econ. Comp.'!AN28</f>
        <v>10384.286514762231</v>
      </c>
      <c r="AJ27" s="732">
        <f>SUM(H27:AI27)</f>
        <v>238200.28818407288</v>
      </c>
    </row>
    <row r="28" spans="1:37" s="720" customFormat="1" x14ac:dyDescent="0.25">
      <c r="B28" s="743"/>
      <c r="C28" s="742"/>
      <c r="D28" s="739"/>
      <c r="E28" s="739"/>
      <c r="F28" s="739"/>
      <c r="G28" s="739"/>
      <c r="H28" s="739"/>
      <c r="I28" s="739"/>
      <c r="J28" s="739"/>
      <c r="K28" s="739"/>
      <c r="L28" s="739"/>
      <c r="M28" s="739"/>
      <c r="N28" s="739"/>
      <c r="O28" s="739"/>
      <c r="P28" s="739"/>
      <c r="Q28" s="739"/>
      <c r="R28" s="739"/>
      <c r="S28" s="739"/>
      <c r="T28" s="739"/>
      <c r="U28" s="739"/>
      <c r="V28" s="739"/>
      <c r="W28" s="739"/>
      <c r="X28" s="739"/>
      <c r="Y28" s="739"/>
      <c r="Z28" s="739"/>
      <c r="AA28" s="739"/>
      <c r="AB28" s="739"/>
      <c r="AC28" s="739"/>
      <c r="AD28" s="739"/>
      <c r="AE28" s="739"/>
      <c r="AF28" s="739"/>
      <c r="AG28" s="739"/>
      <c r="AH28" s="739"/>
      <c r="AI28" s="739"/>
      <c r="AJ28" s="724"/>
    </row>
    <row r="29" spans="1:37" s="720" customFormat="1" x14ac:dyDescent="0.25">
      <c r="A29" s="744" t="s">
        <v>1057</v>
      </c>
      <c r="B29" s="745">
        <v>12.5</v>
      </c>
      <c r="C29" s="746" t="s">
        <v>1058</v>
      </c>
      <c r="D29" s="739"/>
      <c r="E29" s="739"/>
      <c r="F29" s="739"/>
      <c r="G29" s="739"/>
      <c r="H29" s="739"/>
      <c r="I29" s="739"/>
      <c r="J29" s="739"/>
      <c r="K29" s="739"/>
      <c r="L29" s="739"/>
      <c r="M29" s="739"/>
      <c r="N29" s="739"/>
      <c r="O29" s="739"/>
      <c r="P29" s="739"/>
      <c r="Q29" s="739"/>
      <c r="R29" s="739"/>
      <c r="S29" s="739"/>
      <c r="T29" s="739"/>
      <c r="U29" s="739"/>
      <c r="V29" s="739"/>
      <c r="W29" s="739"/>
      <c r="X29" s="739"/>
      <c r="Y29" s="739"/>
      <c r="Z29" s="739"/>
      <c r="AA29" s="739"/>
      <c r="AB29" s="739"/>
      <c r="AC29" s="739"/>
      <c r="AD29" s="739"/>
      <c r="AE29" s="739"/>
      <c r="AF29" s="739"/>
      <c r="AG29" s="739"/>
      <c r="AH29" s="739"/>
      <c r="AI29" s="739"/>
      <c r="AJ29" s="724"/>
      <c r="AK29" s="727" t="s">
        <v>1059</v>
      </c>
    </row>
    <row r="30" spans="1:37" s="727" customFormat="1" x14ac:dyDescent="0.25">
      <c r="A30" s="727" t="s">
        <v>1060</v>
      </c>
      <c r="H30" s="727">
        <f>H26*$B$29</f>
        <v>883394.05493352911</v>
      </c>
      <c r="I30" s="727">
        <f t="shared" ref="I30:AI30" si="7">I26*$B$29</f>
        <v>932742.97766341874</v>
      </c>
      <c r="J30" s="727">
        <f t="shared" si="7"/>
        <v>941810.03449641797</v>
      </c>
      <c r="K30" s="727">
        <f t="shared" si="7"/>
        <v>950967.49778725719</v>
      </c>
      <c r="L30" s="727">
        <f t="shared" si="7"/>
        <v>960216.28007674403</v>
      </c>
      <c r="M30" s="727">
        <f t="shared" si="7"/>
        <v>969557.30316973059</v>
      </c>
      <c r="N30" s="727">
        <f t="shared" si="7"/>
        <v>978991.49822941306</v>
      </c>
      <c r="O30" s="727">
        <f t="shared" si="7"/>
        <v>988519.8058725911</v>
      </c>
      <c r="P30" s="727">
        <f t="shared" si="7"/>
        <v>998143.17626589711</v>
      </c>
      <c r="Q30" s="727">
        <f t="shared" si="7"/>
        <v>1007862.5692230078</v>
      </c>
      <c r="R30" s="727">
        <f t="shared" si="7"/>
        <v>1017678.9543028465</v>
      </c>
      <c r="S30" s="727">
        <f t="shared" si="7"/>
        <v>1027593.3109087844</v>
      </c>
      <c r="T30" s="727">
        <f t="shared" si="7"/>
        <v>1037606.6283888555</v>
      </c>
      <c r="U30" s="727">
        <f t="shared" si="7"/>
        <v>1047719.9061369912</v>
      </c>
      <c r="V30" s="727">
        <f t="shared" si="7"/>
        <v>1057934.153695287</v>
      </c>
      <c r="W30" s="727">
        <f t="shared" si="7"/>
        <v>1068250.390857311</v>
      </c>
      <c r="X30" s="727">
        <f t="shared" si="7"/>
        <v>1078669.6477724668</v>
      </c>
      <c r="Y30" s="727">
        <f t="shared" si="7"/>
        <v>1089192.9650514177</v>
      </c>
      <c r="Z30" s="727">
        <f t="shared" si="7"/>
        <v>1099821.39387259</v>
      </c>
      <c r="AA30" s="727">
        <f t="shared" si="7"/>
        <v>1110555.9960897544</v>
      </c>
      <c r="AB30" s="727">
        <f t="shared" si="7"/>
        <v>1121397.8443407109</v>
      </c>
      <c r="AC30" s="727">
        <f t="shared" si="7"/>
        <v>1132348.0221570779</v>
      </c>
      <c r="AD30" s="727">
        <f t="shared" si="7"/>
        <v>1143407.6240752013</v>
      </c>
      <c r="AE30" s="727">
        <f t="shared" si="7"/>
        <v>1154577.7557481923</v>
      </c>
      <c r="AF30" s="727">
        <f t="shared" si="7"/>
        <v>1165859.5340591108</v>
      </c>
      <c r="AG30" s="727">
        <f t="shared" si="7"/>
        <v>1177254.0872352994</v>
      </c>
      <c r="AH30" s="727">
        <f t="shared" si="7"/>
        <v>1188762.5549638825</v>
      </c>
      <c r="AI30" s="727">
        <f t="shared" si="7"/>
        <v>1200386.0885084453</v>
      </c>
      <c r="AJ30" s="727">
        <f>SUM(H30:AI30)</f>
        <v>29531222.055882227</v>
      </c>
      <c r="AK30" s="744"/>
    </row>
    <row r="31" spans="1:37" s="744" customFormat="1" x14ac:dyDescent="0.25">
      <c r="A31" s="744" t="s">
        <v>1061</v>
      </c>
      <c r="B31" s="745">
        <v>24.7</v>
      </c>
      <c r="C31" s="746" t="s">
        <v>1058</v>
      </c>
      <c r="AJ31" s="724"/>
      <c r="AK31" s="727" t="s">
        <v>1059</v>
      </c>
    </row>
    <row r="32" spans="1:37" s="727" customFormat="1" x14ac:dyDescent="0.25">
      <c r="A32" s="727" t="s">
        <v>1062</v>
      </c>
      <c r="H32" s="727">
        <f t="shared" ref="H32:AI32" si="8">H27*$B$31</f>
        <v>132176.55297758398</v>
      </c>
      <c r="I32" s="727">
        <f t="shared" si="8"/>
        <v>175986.25869396736</v>
      </c>
      <c r="J32" s="727">
        <f t="shared" si="8"/>
        <v>178397.83026949107</v>
      </c>
      <c r="K32" s="727">
        <f t="shared" si="8"/>
        <v>180855.34728365473</v>
      </c>
      <c r="L32" s="727">
        <f t="shared" si="8"/>
        <v>183359.78099204705</v>
      </c>
      <c r="M32" s="727">
        <f t="shared" si="8"/>
        <v>185912.12369474713</v>
      </c>
      <c r="N32" s="727">
        <f t="shared" si="8"/>
        <v>188513.38919477293</v>
      </c>
      <c r="O32" s="727">
        <f t="shared" si="8"/>
        <v>191164.61326652911</v>
      </c>
      <c r="P32" s="727">
        <f t="shared" si="8"/>
        <v>193866.85413447121</v>
      </c>
      <c r="Q32" s="727">
        <f t="shared" si="8"/>
        <v>196621.19296221007</v>
      </c>
      <c r="R32" s="727">
        <f t="shared" si="8"/>
        <v>199428.7343522837</v>
      </c>
      <c r="S32" s="727">
        <f t="shared" si="8"/>
        <v>202290.60685682931</v>
      </c>
      <c r="T32" s="727">
        <f t="shared" si="8"/>
        <v>205207.96349939375</v>
      </c>
      <c r="U32" s="727">
        <f t="shared" si="8"/>
        <v>208181.98230812445</v>
      </c>
      <c r="V32" s="727">
        <f t="shared" si="8"/>
        <v>211213.86686059058</v>
      </c>
      <c r="W32" s="727">
        <f t="shared" si="8"/>
        <v>214304.84684048634</v>
      </c>
      <c r="X32" s="727">
        <f t="shared" si="8"/>
        <v>217456.17860647733</v>
      </c>
      <c r="Y32" s="727">
        <f t="shared" si="8"/>
        <v>220669.14577345358</v>
      </c>
      <c r="Z32" s="727">
        <f t="shared" si="8"/>
        <v>223945.05980646043</v>
      </c>
      <c r="AA32" s="727">
        <f t="shared" si="8"/>
        <v>227285.26062758471</v>
      </c>
      <c r="AB32" s="727">
        <f t="shared" si="8"/>
        <v>230691.11723607662</v>
      </c>
      <c r="AC32" s="727">
        <f t="shared" si="8"/>
        <v>234164.02834199858</v>
      </c>
      <c r="AD32" s="727">
        <f t="shared" si="8"/>
        <v>237705.42301369429</v>
      </c>
      <c r="AE32" s="727">
        <f t="shared" si="8"/>
        <v>241316.76133938076</v>
      </c>
      <c r="AF32" s="727">
        <f t="shared" si="8"/>
        <v>244999.53510317006</v>
      </c>
      <c r="AG32" s="727">
        <f t="shared" si="8"/>
        <v>248755.26847583769</v>
      </c>
      <c r="AH32" s="727">
        <f t="shared" si="8"/>
        <v>252585.51872065646</v>
      </c>
      <c r="AI32" s="727">
        <f t="shared" si="8"/>
        <v>256491.87691462709</v>
      </c>
      <c r="AJ32" s="727">
        <f>SUM(H32:AI32)</f>
        <v>5883547.1181466011</v>
      </c>
    </row>
    <row r="33" spans="1:38" s="720" customFormat="1" x14ac:dyDescent="0.25">
      <c r="B33" s="742"/>
      <c r="C33" s="742"/>
      <c r="AJ33" s="744"/>
    </row>
    <row r="34" spans="1:38" s="720" customFormat="1" x14ac:dyDescent="0.25">
      <c r="A34" s="728" t="s">
        <v>1063</v>
      </c>
      <c r="D34" s="729"/>
      <c r="E34" s="729"/>
      <c r="F34" s="729"/>
      <c r="G34" s="729"/>
      <c r="H34" s="729">
        <f>SUM(H32,H30,H24,H19)</f>
        <v>1115653.1470986539</v>
      </c>
      <c r="I34" s="729">
        <f t="shared" ref="I34:AI34" si="9">SUM(I32,I30,I24,I19)</f>
        <v>1219039.2385135321</v>
      </c>
      <c r="J34" s="729">
        <f t="shared" si="9"/>
        <v>1231679.3816893252</v>
      </c>
      <c r="K34" s="729">
        <f t="shared" si="9"/>
        <v>1244470.2456671351</v>
      </c>
      <c r="L34" s="729">
        <f t="shared" si="9"/>
        <v>1257413.923877148</v>
      </c>
      <c r="M34" s="729">
        <f t="shared" si="9"/>
        <v>1270512.5436099055</v>
      </c>
      <c r="N34" s="729">
        <f t="shared" si="9"/>
        <v>1283768.2666362899</v>
      </c>
      <c r="O34" s="729">
        <f t="shared" si="9"/>
        <v>1297183.289839841</v>
      </c>
      <c r="P34" s="729">
        <f t="shared" si="9"/>
        <v>1310759.8458616426</v>
      </c>
      <c r="Q34" s="729">
        <f t="shared" si="9"/>
        <v>1324500.20375806</v>
      </c>
      <c r="R34" s="729">
        <f t="shared" si="9"/>
        <v>1338406.6696715839</v>
      </c>
      <c r="S34" s="729">
        <f t="shared" si="9"/>
        <v>1352481.5875150545</v>
      </c>
      <c r="T34" s="729">
        <f t="shared" si="9"/>
        <v>1366727.3396695526</v>
      </c>
      <c r="U34" s="729">
        <f t="shared" si="9"/>
        <v>1381146.3476962349</v>
      </c>
      <c r="V34" s="729">
        <f t="shared" si="9"/>
        <v>1395741.0730624076</v>
      </c>
      <c r="W34" s="729">
        <f t="shared" si="9"/>
        <v>1410514.0178821387</v>
      </c>
      <c r="X34" s="729">
        <f t="shared" si="9"/>
        <v>1425467.7256717084</v>
      </c>
      <c r="Y34" s="729">
        <f t="shared" si="9"/>
        <v>1440604.782120209</v>
      </c>
      <c r="Z34" s="729">
        <f t="shared" si="9"/>
        <v>1455927.8158756171</v>
      </c>
      <c r="AA34" s="729">
        <f t="shared" si="9"/>
        <v>1471439.4993466495</v>
      </c>
      <c r="AB34" s="729">
        <f t="shared" si="9"/>
        <v>1487142.5495207461</v>
      </c>
      <c r="AC34" s="729">
        <f t="shared" si="9"/>
        <v>1503039.7287985126</v>
      </c>
      <c r="AD34" s="729">
        <f t="shared" si="9"/>
        <v>1519133.8458449643</v>
      </c>
      <c r="AE34" s="729">
        <f t="shared" si="9"/>
        <v>1535427.7564579283</v>
      </c>
      <c r="AF34" s="729">
        <f t="shared" si="9"/>
        <v>1551924.3644539667</v>
      </c>
      <c r="AG34" s="729">
        <f t="shared" si="9"/>
        <v>1568626.6225721787</v>
      </c>
      <c r="AH34" s="729">
        <f t="shared" si="9"/>
        <v>1585537.5333962624</v>
      </c>
      <c r="AI34" s="729">
        <f t="shared" si="9"/>
        <v>1602660.1502952287</v>
      </c>
      <c r="AJ34" s="724">
        <f>SUM(H34:AI34)</f>
        <v>38946929.496402472</v>
      </c>
    </row>
    <row r="35" spans="1:38" s="720" customFormat="1" x14ac:dyDescent="0.25">
      <c r="AJ35" s="724"/>
    </row>
    <row r="36" spans="1:38" s="720" customFormat="1" x14ac:dyDescent="0.25">
      <c r="A36" s="728" t="s">
        <v>1130</v>
      </c>
      <c r="AJ36" s="724"/>
    </row>
    <row r="37" spans="1:38" s="720" customFormat="1" x14ac:dyDescent="0.25">
      <c r="A37" s="720" t="s">
        <v>1064</v>
      </c>
      <c r="B37" s="747">
        <f>0.266*'[3]CPI Conversions'!D11</f>
        <v>0.30384594115505392</v>
      </c>
      <c r="C37" s="720" t="s">
        <v>1065</v>
      </c>
      <c r="AJ37" s="724"/>
      <c r="AK37" s="720" t="s">
        <v>1066</v>
      </c>
    </row>
    <row r="38" spans="1:38" s="734" customFormat="1" x14ac:dyDescent="0.25">
      <c r="A38" s="734" t="s">
        <v>1067</v>
      </c>
      <c r="D38" s="748"/>
      <c r="E38" s="748"/>
      <c r="F38" s="748"/>
      <c r="G38" s="748"/>
      <c r="H38" s="748">
        <f t="shared" ref="H38:AI38" si="10">$B$37*(H$17+H$22)</f>
        <v>8386.945574219757</v>
      </c>
      <c r="I38" s="748">
        <f t="shared" si="10"/>
        <v>9213.9380813506541</v>
      </c>
      <c r="J38" s="748">
        <f t="shared" si="10"/>
        <v>9310.4024471374287</v>
      </c>
      <c r="K38" s="748">
        <f t="shared" si="10"/>
        <v>9408.0441678959578</v>
      </c>
      <c r="L38" s="748">
        <f t="shared" si="10"/>
        <v>9506.8801218879271</v>
      </c>
      <c r="M38" s="748">
        <f t="shared" si="10"/>
        <v>9606.9274687891302</v>
      </c>
      <c r="N38" s="748">
        <f t="shared" si="10"/>
        <v>9708.2036549575896</v>
      </c>
      <c r="O38" s="748">
        <f t="shared" si="10"/>
        <v>9810.7264188077243</v>
      </c>
      <c r="P38" s="748">
        <f t="shared" si="10"/>
        <v>9914.5137962928966</v>
      </c>
      <c r="Q38" s="748">
        <f t="shared" si="10"/>
        <v>10019.584126498539</v>
      </c>
      <c r="R38" s="748">
        <f t="shared" si="10"/>
        <v>10125.956057348225</v>
      </c>
      <c r="S38" s="748">
        <f t="shared" si="10"/>
        <v>10233.648551425033</v>
      </c>
      <c r="T38" s="748">
        <f t="shared" si="10"/>
        <v>10342.680891910632</v>
      </c>
      <c r="U38" s="748">
        <f t="shared" si="10"/>
        <v>10453.072688644563</v>
      </c>
      <c r="V38" s="748">
        <f t="shared" si="10"/>
        <v>10564.843884306254</v>
      </c>
      <c r="W38" s="748">
        <f t="shared" si="10"/>
        <v>10678.014760722323</v>
      </c>
      <c r="X38" s="748">
        <f t="shared" si="10"/>
        <v>10792.605945301819</v>
      </c>
      <c r="Y38" s="748">
        <f t="shared" si="10"/>
        <v>10908.63841760212</v>
      </c>
      <c r="Z38" s="748">
        <f t="shared" si="10"/>
        <v>11026.133516028201</v>
      </c>
      <c r="AA38" s="748">
        <f t="shared" si="10"/>
        <v>11145.112944668082</v>
      </c>
      <c r="AB38" s="748">
        <f t="shared" si="10"/>
        <v>11265.598780267363</v>
      </c>
      <c r="AC38" s="748">
        <f t="shared" si="10"/>
        <v>11387.61347934574</v>
      </c>
      <c r="AD38" s="748">
        <f t="shared" si="10"/>
        <v>11511.17988545853</v>
      </c>
      <c r="AE38" s="748">
        <f t="shared" si="10"/>
        <v>11636.3212366062</v>
      </c>
      <c r="AF38" s="748">
        <f t="shared" si="10"/>
        <v>11763.061172795133</v>
      </c>
      <c r="AG38" s="748">
        <f t="shared" si="10"/>
        <v>11891.423743752714</v>
      </c>
      <c r="AH38" s="748">
        <f t="shared" si="10"/>
        <v>12021.43341680003</v>
      </c>
      <c r="AI38" s="748">
        <f t="shared" si="10"/>
        <v>12153.115084885589</v>
      </c>
      <c r="AJ38" s="749">
        <f>SUM(D38:AD38)</f>
        <v>235321.26566086648</v>
      </c>
    </row>
    <row r="39" spans="1:38" s="728" customFormat="1" x14ac:dyDescent="0.25">
      <c r="D39" s="729"/>
      <c r="E39" s="729"/>
      <c r="F39" s="729"/>
      <c r="G39" s="729"/>
      <c r="H39" s="729"/>
      <c r="I39" s="729"/>
      <c r="J39" s="729"/>
      <c r="K39" s="729"/>
      <c r="L39" s="729"/>
      <c r="M39" s="729"/>
      <c r="N39" s="729"/>
      <c r="O39" s="729"/>
      <c r="P39" s="729"/>
      <c r="Q39" s="729"/>
      <c r="R39" s="729"/>
      <c r="S39" s="729"/>
      <c r="T39" s="729"/>
      <c r="U39" s="729"/>
      <c r="V39" s="729"/>
      <c r="W39" s="729"/>
      <c r="X39" s="729"/>
      <c r="Y39" s="729"/>
      <c r="Z39" s="729"/>
      <c r="AA39" s="729"/>
      <c r="AB39" s="729"/>
      <c r="AC39" s="729"/>
      <c r="AD39" s="729"/>
      <c r="AE39" s="729"/>
      <c r="AF39" s="729"/>
      <c r="AG39" s="729"/>
      <c r="AH39" s="729"/>
      <c r="AI39" s="729"/>
      <c r="AJ39" s="724"/>
    </row>
    <row r="40" spans="1:38" s="720" customFormat="1" x14ac:dyDescent="0.25">
      <c r="A40" s="720" t="s">
        <v>1068</v>
      </c>
      <c r="B40" s="747">
        <f>0.116*'[3]CPI Conversions'!D11</f>
        <v>0.13250424501498592</v>
      </c>
      <c r="C40" s="720" t="s">
        <v>1065</v>
      </c>
      <c r="D40" s="730"/>
      <c r="E40" s="730"/>
      <c r="F40" s="730"/>
      <c r="G40" s="730"/>
      <c r="H40" s="730"/>
      <c r="I40" s="730"/>
      <c r="J40" s="730"/>
      <c r="K40" s="730"/>
      <c r="L40" s="730"/>
      <c r="M40" s="730"/>
      <c r="N40" s="730"/>
      <c r="O40" s="730"/>
      <c r="P40" s="730"/>
      <c r="Q40" s="730"/>
      <c r="R40" s="730"/>
      <c r="S40" s="730"/>
      <c r="T40" s="730"/>
      <c r="U40" s="730"/>
      <c r="V40" s="730"/>
      <c r="W40" s="730"/>
      <c r="X40" s="730"/>
      <c r="Y40" s="730"/>
      <c r="Z40" s="730"/>
      <c r="AA40" s="730"/>
      <c r="AB40" s="730"/>
      <c r="AC40" s="730"/>
      <c r="AD40" s="730"/>
      <c r="AE40" s="730"/>
      <c r="AF40" s="730"/>
      <c r="AG40" s="730"/>
      <c r="AH40" s="730"/>
      <c r="AI40" s="730"/>
      <c r="AJ40" s="724"/>
      <c r="AK40" s="720" t="s">
        <v>1066</v>
      </c>
      <c r="AL40" s="750"/>
    </row>
    <row r="41" spans="1:38" s="734" customFormat="1" x14ac:dyDescent="0.25">
      <c r="A41" s="734" t="s">
        <v>1069</v>
      </c>
      <c r="D41" s="748"/>
      <c r="E41" s="748"/>
      <c r="F41" s="748"/>
      <c r="G41" s="748"/>
      <c r="H41" s="748">
        <f t="shared" ref="H41:AI41" si="11">$B$40*(H$17+H$22)</f>
        <v>3657.4649872537289</v>
      </c>
      <c r="I41" s="748">
        <f t="shared" si="11"/>
        <v>4018.1083362281051</v>
      </c>
      <c r="J41" s="748">
        <f t="shared" si="11"/>
        <v>4060.1755032629385</v>
      </c>
      <c r="K41" s="748">
        <f t="shared" si="11"/>
        <v>4102.7561032929743</v>
      </c>
      <c r="L41" s="748">
        <f t="shared" si="11"/>
        <v>4145.8574967631566</v>
      </c>
      <c r="M41" s="748">
        <f t="shared" si="11"/>
        <v>4189.487166840373</v>
      </c>
      <c r="N41" s="748">
        <f t="shared" si="11"/>
        <v>4233.6527217108287</v>
      </c>
      <c r="O41" s="748">
        <f t="shared" si="11"/>
        <v>4278.3618969236686</v>
      </c>
      <c r="P41" s="748">
        <f t="shared" si="11"/>
        <v>4323.622557781865</v>
      </c>
      <c r="Q41" s="748">
        <f t="shared" si="11"/>
        <v>4369.4427017813177</v>
      </c>
      <c r="R41" s="748">
        <f t="shared" si="11"/>
        <v>4415.8304610992254</v>
      </c>
      <c r="S41" s="748">
        <f t="shared" si="11"/>
        <v>4462.7941051327216</v>
      </c>
      <c r="T41" s="748">
        <f t="shared" si="11"/>
        <v>4510.3420430888464</v>
      </c>
      <c r="U41" s="748">
        <f t="shared" si="11"/>
        <v>4558.4828266269515</v>
      </c>
      <c r="V41" s="748">
        <f t="shared" si="11"/>
        <v>4607.2251525546071</v>
      </c>
      <c r="W41" s="748">
        <f t="shared" si="11"/>
        <v>4656.577865578156</v>
      </c>
      <c r="X41" s="748">
        <f t="shared" si="11"/>
        <v>4706.5499611090645</v>
      </c>
      <c r="Y41" s="748">
        <f t="shared" si="11"/>
        <v>4757.1505881272406</v>
      </c>
      <c r="Z41" s="748">
        <f t="shared" si="11"/>
        <v>4808.3890521025241</v>
      </c>
      <c r="AA41" s="748">
        <f t="shared" si="11"/>
        <v>4860.2748179755545</v>
      </c>
      <c r="AB41" s="748">
        <f t="shared" si="11"/>
        <v>4912.8175131993012</v>
      </c>
      <c r="AC41" s="748">
        <f t="shared" si="11"/>
        <v>4966.0269308425031</v>
      </c>
      <c r="AD41" s="748">
        <f t="shared" si="11"/>
        <v>5019.9130327563516</v>
      </c>
      <c r="AE41" s="748">
        <f t="shared" si="11"/>
        <v>5074.4859528057113</v>
      </c>
      <c r="AF41" s="748">
        <f t="shared" si="11"/>
        <v>5129.7560001662987</v>
      </c>
      <c r="AG41" s="748">
        <f t="shared" si="11"/>
        <v>5185.7336626891529</v>
      </c>
      <c r="AH41" s="748">
        <f t="shared" si="11"/>
        <v>5242.4296103338474</v>
      </c>
      <c r="AI41" s="748">
        <f t="shared" si="11"/>
        <v>5299.8546986719111</v>
      </c>
      <c r="AJ41" s="749">
        <f>SUM(D41:AD41)</f>
        <v>102621.30382203202</v>
      </c>
    </row>
    <row r="42" spans="1:38" s="751" customFormat="1" x14ac:dyDescent="0.25">
      <c r="D42" s="752"/>
      <c r="E42" s="752"/>
      <c r="F42" s="752"/>
      <c r="G42" s="752"/>
      <c r="H42" s="739"/>
      <c r="I42" s="752"/>
      <c r="J42" s="752"/>
      <c r="K42" s="752"/>
      <c r="L42" s="752"/>
      <c r="M42" s="752"/>
      <c r="N42" s="752"/>
      <c r="O42" s="752"/>
      <c r="P42" s="752"/>
      <c r="Q42" s="752"/>
      <c r="R42" s="752"/>
      <c r="S42" s="752"/>
      <c r="T42" s="752"/>
      <c r="U42" s="752"/>
      <c r="V42" s="752"/>
      <c r="W42" s="752"/>
      <c r="X42" s="752"/>
      <c r="Y42" s="752"/>
      <c r="Z42" s="752"/>
      <c r="AA42" s="752"/>
      <c r="AB42" s="752"/>
      <c r="AC42" s="752"/>
      <c r="AD42" s="752"/>
      <c r="AE42" s="752"/>
      <c r="AF42" s="752"/>
      <c r="AG42" s="752"/>
      <c r="AH42" s="752"/>
      <c r="AI42" s="752"/>
      <c r="AJ42" s="724"/>
    </row>
    <row r="43" spans="1:38" s="720" customFormat="1" x14ac:dyDescent="0.25">
      <c r="D43" s="730"/>
      <c r="E43" s="730"/>
      <c r="F43" s="730"/>
      <c r="G43" s="730"/>
      <c r="H43" s="730"/>
      <c r="I43" s="730"/>
      <c r="J43" s="730"/>
      <c r="K43" s="730"/>
      <c r="L43" s="730"/>
      <c r="M43" s="730"/>
      <c r="N43" s="730"/>
      <c r="O43" s="730"/>
      <c r="P43" s="730"/>
      <c r="Q43" s="730"/>
      <c r="R43" s="730"/>
      <c r="S43" s="730"/>
      <c r="T43" s="730"/>
      <c r="U43" s="730"/>
      <c r="V43" s="730"/>
      <c r="W43" s="730"/>
      <c r="X43" s="730"/>
      <c r="Y43" s="730"/>
      <c r="Z43" s="730"/>
      <c r="AA43" s="730"/>
      <c r="AB43" s="730"/>
      <c r="AC43" s="730"/>
      <c r="AD43" s="730"/>
      <c r="AE43" s="730"/>
      <c r="AF43" s="730"/>
      <c r="AG43" s="730"/>
      <c r="AH43" s="730"/>
      <c r="AI43" s="730"/>
      <c r="AJ43" s="724"/>
    </row>
    <row r="44" spans="1:38" s="720" customFormat="1" x14ac:dyDescent="0.25">
      <c r="A44" s="753" t="s">
        <v>1070</v>
      </c>
      <c r="B44" s="754">
        <v>0.5</v>
      </c>
      <c r="D44" s="730"/>
      <c r="E44" s="730"/>
      <c r="F44" s="730"/>
      <c r="G44" s="730"/>
      <c r="H44" s="730"/>
      <c r="I44" s="730"/>
      <c r="J44" s="730"/>
      <c r="K44" s="730"/>
      <c r="L44" s="730"/>
      <c r="M44" s="730"/>
      <c r="N44" s="730"/>
      <c r="O44" s="730"/>
      <c r="P44" s="730"/>
      <c r="Q44" s="730"/>
      <c r="R44" s="730"/>
      <c r="S44" s="730"/>
      <c r="T44" s="730"/>
      <c r="U44" s="730"/>
      <c r="V44" s="730"/>
      <c r="W44" s="730"/>
      <c r="X44" s="730"/>
      <c r="Y44" s="730"/>
      <c r="Z44" s="730"/>
      <c r="AA44" s="730"/>
      <c r="AB44" s="730"/>
      <c r="AC44" s="730"/>
      <c r="AD44" s="730"/>
      <c r="AE44" s="730"/>
      <c r="AF44" s="730"/>
      <c r="AG44" s="730"/>
      <c r="AH44" s="730"/>
      <c r="AI44" s="730"/>
      <c r="AJ44" s="724"/>
    </row>
    <row r="45" spans="1:38" s="720" customFormat="1" x14ac:dyDescent="0.25">
      <c r="A45" s="755"/>
      <c r="B45" s="756"/>
      <c r="D45" s="730"/>
      <c r="E45" s="730"/>
      <c r="F45" s="730"/>
      <c r="G45" s="730"/>
      <c r="H45" s="730"/>
      <c r="I45" s="730"/>
      <c r="J45" s="730"/>
      <c r="K45" s="730"/>
      <c r="L45" s="730"/>
      <c r="M45" s="730"/>
      <c r="N45" s="730"/>
      <c r="O45" s="730"/>
      <c r="P45" s="730"/>
      <c r="Q45" s="730"/>
      <c r="R45" s="730"/>
      <c r="S45" s="730"/>
      <c r="T45" s="730"/>
      <c r="U45" s="730"/>
      <c r="V45" s="730"/>
      <c r="W45" s="730"/>
      <c r="X45" s="730"/>
      <c r="Y45" s="730"/>
      <c r="Z45" s="730"/>
      <c r="AA45" s="730"/>
      <c r="AB45" s="730"/>
      <c r="AC45" s="730"/>
      <c r="AD45" s="730"/>
      <c r="AE45" s="730"/>
      <c r="AF45" s="730"/>
      <c r="AG45" s="730"/>
      <c r="AH45" s="730"/>
      <c r="AI45" s="730"/>
      <c r="AJ45" s="724"/>
    </row>
    <row r="46" spans="1:38" s="720" customFormat="1" x14ac:dyDescent="0.25">
      <c r="A46" s="720" t="s">
        <v>1071</v>
      </c>
      <c r="B46" s="757">
        <v>1.4700000000000001E-6</v>
      </c>
      <c r="C46" s="720" t="s">
        <v>1072</v>
      </c>
      <c r="AJ46" s="724"/>
      <c r="AK46" s="720" t="s">
        <v>1073</v>
      </c>
    </row>
    <row r="47" spans="1:38" s="720" customFormat="1" x14ac:dyDescent="0.25">
      <c r="A47" s="720" t="s">
        <v>1074</v>
      </c>
      <c r="B47" s="757">
        <v>9.1536800000000001E-5</v>
      </c>
      <c r="C47" s="720" t="s">
        <v>1072</v>
      </c>
      <c r="D47" s="730"/>
      <c r="E47" s="730"/>
      <c r="F47" s="730"/>
      <c r="G47" s="730"/>
      <c r="H47" s="730"/>
      <c r="I47" s="730"/>
      <c r="J47" s="730"/>
      <c r="K47" s="730"/>
      <c r="L47" s="730"/>
      <c r="M47" s="730"/>
      <c r="N47" s="730"/>
      <c r="O47" s="730"/>
      <c r="P47" s="730"/>
      <c r="Q47" s="730"/>
      <c r="R47" s="730"/>
      <c r="S47" s="730"/>
      <c r="T47" s="730"/>
      <c r="U47" s="730"/>
      <c r="V47" s="730"/>
      <c r="W47" s="730"/>
      <c r="X47" s="730"/>
      <c r="Y47" s="730"/>
      <c r="Z47" s="730"/>
      <c r="AA47" s="730"/>
      <c r="AB47" s="730"/>
      <c r="AC47" s="730"/>
      <c r="AD47" s="730"/>
      <c r="AE47" s="730"/>
      <c r="AF47" s="730"/>
      <c r="AG47" s="730"/>
      <c r="AH47" s="730"/>
      <c r="AI47" s="730"/>
      <c r="AJ47" s="724"/>
      <c r="AK47" s="720" t="s">
        <v>1075</v>
      </c>
    </row>
    <row r="48" spans="1:38" s="720" customFormat="1" x14ac:dyDescent="0.25">
      <c r="A48" s="720" t="s">
        <v>1076</v>
      </c>
      <c r="B48" s="744">
        <v>5959.2641917515639</v>
      </c>
      <c r="C48" s="720" t="s">
        <v>1077</v>
      </c>
      <c r="D48" s="730"/>
      <c r="E48" s="730"/>
      <c r="F48" s="730"/>
      <c r="G48" s="730"/>
      <c r="H48" s="730"/>
      <c r="I48" s="730"/>
      <c r="J48" s="730"/>
      <c r="K48" s="730"/>
      <c r="L48" s="730"/>
      <c r="M48" s="730"/>
      <c r="N48" s="730"/>
      <c r="O48" s="730"/>
      <c r="P48" s="730"/>
      <c r="Q48" s="730"/>
      <c r="R48" s="730"/>
      <c r="S48" s="730"/>
      <c r="T48" s="730"/>
      <c r="U48" s="730"/>
      <c r="V48" s="730"/>
      <c r="W48" s="730"/>
      <c r="X48" s="730"/>
      <c r="Y48" s="730"/>
      <c r="Z48" s="730"/>
      <c r="AA48" s="730"/>
      <c r="AB48" s="730"/>
      <c r="AC48" s="730"/>
      <c r="AD48" s="730"/>
      <c r="AE48" s="730"/>
      <c r="AF48" s="730"/>
      <c r="AG48" s="730"/>
      <c r="AH48" s="730"/>
      <c r="AI48" s="730"/>
      <c r="AJ48" s="724"/>
    </row>
    <row r="49" spans="1:37" s="720" customFormat="1" x14ac:dyDescent="0.25">
      <c r="A49" s="720" t="s">
        <v>1078</v>
      </c>
      <c r="D49" s="731"/>
      <c r="E49" s="731"/>
      <c r="F49" s="731"/>
      <c r="G49" s="731"/>
      <c r="H49" s="731">
        <f t="shared" ref="H49:AI49" si="12">H$17*$B$46+H$22*$B$47*$B44</f>
        <v>0.2302182819024598</v>
      </c>
      <c r="I49" s="731">
        <f t="shared" si="12"/>
        <v>0.29707592939324218</v>
      </c>
      <c r="J49" s="731">
        <f t="shared" si="12"/>
        <v>0.30100266276306653</v>
      </c>
      <c r="K49" s="731">
        <f t="shared" si="12"/>
        <v>0.30500101310326871</v>
      </c>
      <c r="L49" s="731">
        <f t="shared" si="12"/>
        <v>0.30907245559499663</v>
      </c>
      <c r="M49" s="731">
        <f t="shared" si="12"/>
        <v>0.31321849697479276</v>
      </c>
      <c r="N49" s="731">
        <f t="shared" si="12"/>
        <v>0.31744067621784727</v>
      </c>
      <c r="O49" s="731">
        <f t="shared" si="12"/>
        <v>0.32174056523611116</v>
      </c>
      <c r="P49" s="731">
        <f t="shared" si="12"/>
        <v>0.326119769591592</v>
      </c>
      <c r="Q49" s="731">
        <f t="shared" si="12"/>
        <v>0.33057992922516327</v>
      </c>
      <c r="R49" s="731">
        <f t="shared" si="12"/>
        <v>0.33512271920122655</v>
      </c>
      <c r="S49" s="731">
        <f t="shared" si="12"/>
        <v>0.33974985046856943</v>
      </c>
      <c r="T49" s="731">
        <f t="shared" si="12"/>
        <v>0.34446307063777476</v>
      </c>
      <c r="U49" s="731">
        <f t="shared" si="12"/>
        <v>0.34926416477553968</v>
      </c>
      <c r="V49" s="731">
        <f t="shared" si="12"/>
        <v>0.35415495621627485</v>
      </c>
      <c r="W49" s="731">
        <f t="shared" si="12"/>
        <v>0.35913730739135785</v>
      </c>
      <c r="X49" s="731">
        <f t="shared" si="12"/>
        <v>0.36421312067642836</v>
      </c>
      <c r="Y49" s="731">
        <f t="shared" si="12"/>
        <v>0.36938433925711572</v>
      </c>
      <c r="Z49" s="731">
        <f t="shared" si="12"/>
        <v>0.37465294801360199</v>
      </c>
      <c r="AA49" s="731">
        <f t="shared" si="12"/>
        <v>0.38002097442443095</v>
      </c>
      <c r="AB49" s="731">
        <f t="shared" si="12"/>
        <v>0.38549048948998083</v>
      </c>
      <c r="AC49" s="731">
        <f t="shared" si="12"/>
        <v>0.39106360867603152</v>
      </c>
      <c r="AD49" s="731">
        <f t="shared" si="12"/>
        <v>0.3967424928778624</v>
      </c>
      <c r="AE49" s="731">
        <f t="shared" si="12"/>
        <v>0.40252934940532897</v>
      </c>
      <c r="AF49" s="731">
        <f t="shared" si="12"/>
        <v>0.40842643298937498</v>
      </c>
      <c r="AG49" s="731">
        <f t="shared" si="12"/>
        <v>0.41443604681044871</v>
      </c>
      <c r="AH49" s="731">
        <f t="shared" si="12"/>
        <v>0.42056054354929728</v>
      </c>
      <c r="AI49" s="731">
        <f t="shared" si="12"/>
        <v>0.42680232646063077</v>
      </c>
      <c r="AJ49" s="724"/>
    </row>
    <row r="50" spans="1:37" s="734" customFormat="1" x14ac:dyDescent="0.25">
      <c r="A50" s="734" t="s">
        <v>1079</v>
      </c>
      <c r="D50" s="727"/>
      <c r="E50" s="727"/>
      <c r="F50" s="727"/>
      <c r="G50" s="727"/>
      <c r="H50" s="727">
        <f t="shared" ref="H50:AI50" si="13">H$49*$B48</f>
        <v>1371.9315636278957</v>
      </c>
      <c r="I50" s="727">
        <f t="shared" si="13"/>
        <v>1770.353948264464</v>
      </c>
      <c r="J50" s="727">
        <f t="shared" si="13"/>
        <v>1793.7543898258143</v>
      </c>
      <c r="K50" s="727">
        <f t="shared" si="13"/>
        <v>1817.5816158342589</v>
      </c>
      <c r="L50" s="727">
        <f t="shared" si="13"/>
        <v>1841.8444172839888</v>
      </c>
      <c r="M50" s="727">
        <f t="shared" si="13"/>
        <v>1866.5517732161281</v>
      </c>
      <c r="N50" s="727">
        <f t="shared" si="13"/>
        <v>1891.7128547904194</v>
      </c>
      <c r="O50" s="727">
        <f t="shared" si="13"/>
        <v>1917.3370294454653</v>
      </c>
      <c r="P50" s="727">
        <f t="shared" si="13"/>
        <v>1943.4338651494447</v>
      </c>
      <c r="Q50" s="727">
        <f t="shared" si="13"/>
        <v>1970.0131347432819</v>
      </c>
      <c r="R50" s="727">
        <f t="shared" si="13"/>
        <v>1997.0848203782837</v>
      </c>
      <c r="S50" s="727">
        <f t="shared" si="13"/>
        <v>2024.659118050294</v>
      </c>
      <c r="T50" s="727">
        <f t="shared" si="13"/>
        <v>2052.7464422324806</v>
      </c>
      <c r="U50" s="727">
        <f t="shared" si="13"/>
        <v>2081.3574306088913</v>
      </c>
      <c r="V50" s="727">
        <f t="shared" si="13"/>
        <v>2110.5029489109897</v>
      </c>
      <c r="W50" s="727">
        <f t="shared" si="13"/>
        <v>2140.1940958593932</v>
      </c>
      <c r="X50" s="727">
        <f t="shared" si="13"/>
        <v>2170.4422082131305</v>
      </c>
      <c r="Y50" s="727">
        <f t="shared" si="13"/>
        <v>2201.2588659287412</v>
      </c>
      <c r="Z50" s="727">
        <f t="shared" si="13"/>
        <v>2232.6558974316185</v>
      </c>
      <c r="AA50" s="727">
        <f t="shared" si="13"/>
        <v>2264.645385002048</v>
      </c>
      <c r="AB50" s="727">
        <f t="shared" si="13"/>
        <v>2297.2396702784254</v>
      </c>
      <c r="AC50" s="727">
        <f t="shared" si="13"/>
        <v>2330.4513598802209</v>
      </c>
      <c r="AD50" s="727">
        <f t="shared" si="13"/>
        <v>2364.2933311532952</v>
      </c>
      <c r="AE50" s="727">
        <f t="shared" si="13"/>
        <v>2398.7787380402306</v>
      </c>
      <c r="AF50" s="727">
        <f t="shared" si="13"/>
        <v>2433.9210170784017</v>
      </c>
      <c r="AG50" s="727">
        <f t="shared" si="13"/>
        <v>2469.733893528582</v>
      </c>
      <c r="AH50" s="727">
        <f t="shared" si="13"/>
        <v>2506.2313876369017</v>
      </c>
      <c r="AI50" s="727">
        <f t="shared" si="13"/>
        <v>2543.4278210330981</v>
      </c>
      <c r="AJ50" s="727">
        <f>SUM(H50:AI50)</f>
        <v>58804.139023426193</v>
      </c>
    </row>
    <row r="51" spans="1:37" s="720" customFormat="1" x14ac:dyDescent="0.25">
      <c r="D51" s="730"/>
      <c r="E51" s="730"/>
      <c r="F51" s="730"/>
      <c r="G51" s="730"/>
      <c r="H51" s="730"/>
      <c r="I51" s="730"/>
      <c r="J51" s="730"/>
      <c r="K51" s="730"/>
      <c r="L51" s="730"/>
      <c r="M51" s="730"/>
      <c r="N51" s="730"/>
      <c r="O51" s="730"/>
      <c r="P51" s="730"/>
      <c r="Q51" s="730"/>
      <c r="R51" s="730"/>
      <c r="S51" s="730"/>
      <c r="T51" s="730"/>
      <c r="U51" s="730"/>
      <c r="V51" s="730"/>
      <c r="W51" s="730"/>
      <c r="X51" s="730"/>
      <c r="Y51" s="730"/>
      <c r="Z51" s="730"/>
      <c r="AA51" s="730"/>
      <c r="AB51" s="730"/>
      <c r="AC51" s="730"/>
      <c r="AD51" s="730"/>
      <c r="AE51" s="730"/>
      <c r="AF51" s="730"/>
      <c r="AG51" s="730"/>
      <c r="AH51" s="730"/>
      <c r="AI51" s="730"/>
      <c r="AJ51" s="724"/>
    </row>
    <row r="52" spans="1:37" s="720" customFormat="1" x14ac:dyDescent="0.25">
      <c r="A52" s="720" t="s">
        <v>1080</v>
      </c>
      <c r="B52" s="757">
        <v>2.1E-7</v>
      </c>
      <c r="C52" s="720" t="s">
        <v>1072</v>
      </c>
      <c r="AJ52" s="724"/>
      <c r="AK52" s="720" t="s">
        <v>1073</v>
      </c>
    </row>
    <row r="53" spans="1:37" s="720" customFormat="1" x14ac:dyDescent="0.25">
      <c r="A53" s="720" t="s">
        <v>1081</v>
      </c>
      <c r="B53" s="757">
        <v>2.8042599999999997E-6</v>
      </c>
      <c r="C53" s="720" t="s">
        <v>1072</v>
      </c>
      <c r="D53" s="730"/>
      <c r="E53" s="730"/>
      <c r="F53" s="730"/>
      <c r="G53" s="730"/>
      <c r="H53" s="730"/>
      <c r="I53" s="730"/>
      <c r="J53" s="730"/>
      <c r="K53" s="730"/>
      <c r="L53" s="730"/>
      <c r="M53" s="730"/>
      <c r="N53" s="730"/>
      <c r="O53" s="730"/>
      <c r="P53" s="730"/>
      <c r="Q53" s="730"/>
      <c r="R53" s="730"/>
      <c r="S53" s="730"/>
      <c r="T53" s="730"/>
      <c r="U53" s="730"/>
      <c r="V53" s="730"/>
      <c r="W53" s="730"/>
      <c r="X53" s="730"/>
      <c r="Y53" s="730"/>
      <c r="Z53" s="730"/>
      <c r="AA53" s="730"/>
      <c r="AB53" s="730"/>
      <c r="AC53" s="730"/>
      <c r="AD53" s="730"/>
      <c r="AE53" s="730"/>
      <c r="AF53" s="730"/>
      <c r="AG53" s="730"/>
      <c r="AH53" s="730"/>
      <c r="AI53" s="730"/>
      <c r="AJ53" s="724"/>
      <c r="AK53" s="720" t="s">
        <v>1075</v>
      </c>
    </row>
    <row r="54" spans="1:37" s="720" customFormat="1" x14ac:dyDescent="0.25">
      <c r="A54" s="720" t="s">
        <v>1082</v>
      </c>
      <c r="B54" s="744">
        <v>326084.95103606046</v>
      </c>
      <c r="C54" s="720" t="s">
        <v>1077</v>
      </c>
      <c r="D54" s="730"/>
      <c r="E54" s="730"/>
      <c r="F54" s="730"/>
      <c r="G54" s="730"/>
      <c r="H54" s="730"/>
      <c r="I54" s="730"/>
      <c r="J54" s="730"/>
      <c r="K54" s="730"/>
      <c r="L54" s="730"/>
      <c r="M54" s="730"/>
      <c r="N54" s="730"/>
      <c r="O54" s="730"/>
      <c r="P54" s="730"/>
      <c r="Q54" s="730"/>
      <c r="R54" s="730"/>
      <c r="S54" s="730"/>
      <c r="T54" s="730"/>
      <c r="U54" s="730"/>
      <c r="V54" s="730"/>
      <c r="W54" s="730"/>
      <c r="X54" s="730"/>
      <c r="Y54" s="730"/>
      <c r="Z54" s="730"/>
      <c r="AA54" s="730"/>
      <c r="AB54" s="730"/>
      <c r="AC54" s="730"/>
      <c r="AD54" s="730"/>
      <c r="AE54" s="730"/>
      <c r="AF54" s="730"/>
      <c r="AG54" s="730"/>
      <c r="AH54" s="730"/>
      <c r="AI54" s="730"/>
      <c r="AJ54" s="724"/>
    </row>
    <row r="55" spans="1:37" s="720" customFormat="1" x14ac:dyDescent="0.25">
      <c r="A55" s="720" t="s">
        <v>1083</v>
      </c>
      <c r="D55" s="731"/>
      <c r="E55" s="731"/>
      <c r="F55" s="731"/>
      <c r="G55" s="731"/>
      <c r="H55" s="731">
        <f>H$17*$B$52+H$22*$B$53*$B$44</f>
        <v>1.0900085959627107E-2</v>
      </c>
      <c r="I55" s="731">
        <f t="shared" ref="I55:AI55" si="14">I$17*$B$52+I$22*$B$53*$B$44</f>
        <v>1.3163211696589395E-2</v>
      </c>
      <c r="J55" s="731">
        <f t="shared" si="14"/>
        <v>1.3322996442770782E-2</v>
      </c>
      <c r="K55" s="731">
        <f t="shared" si="14"/>
        <v>1.3485368927953795E-2</v>
      </c>
      <c r="L55" s="731">
        <f t="shared" si="14"/>
        <v>1.3650378319008755E-2</v>
      </c>
      <c r="M55" s="731">
        <f t="shared" si="14"/>
        <v>1.3818074789861755E-2</v>
      </c>
      <c r="N55" s="731">
        <f t="shared" si="14"/>
        <v>1.3988509542837048E-2</v>
      </c>
      <c r="O55" s="731">
        <f t="shared" si="14"/>
        <v>1.4161734830458808E-2</v>
      </c>
      <c r="P55" s="731">
        <f t="shared" si="14"/>
        <v>1.43378039777223E-2</v>
      </c>
      <c r="Q55" s="731">
        <f t="shared" si="14"/>
        <v>1.4516771404844538E-2</v>
      </c>
      <c r="R55" s="731">
        <f t="shared" si="14"/>
        <v>1.4698692650504941E-2</v>
      </c>
      <c r="S55" s="731">
        <f t="shared" si="14"/>
        <v>1.4883624395586516E-2</v>
      </c>
      <c r="T55" s="731">
        <f t="shared" si="14"/>
        <v>1.5071624487428461E-2</v>
      </c>
      <c r="U55" s="731">
        <f t="shared" si="14"/>
        <v>1.526275196460131E-2</v>
      </c>
      <c r="V55" s="731">
        <f t="shared" si="14"/>
        <v>1.5457067082215897E-2</v>
      </c>
      <c r="W55" s="731">
        <f t="shared" si="14"/>
        <v>1.5654631337777745E-2</v>
      </c>
      <c r="X55" s="731">
        <f t="shared" si="14"/>
        <v>1.5855507497598738E-2</v>
      </c>
      <c r="Y55" s="731">
        <f t="shared" si="14"/>
        <v>1.6059759623778095E-2</v>
      </c>
      <c r="Z55" s="731">
        <f t="shared" si="14"/>
        <v>1.6267453101765101E-2</v>
      </c>
      <c r="AA55" s="731">
        <f t="shared" si="14"/>
        <v>1.6478654668516106E-2</v>
      </c>
      <c r="AB55" s="731">
        <f t="shared" si="14"/>
        <v>1.6693432441258753E-2</v>
      </c>
      <c r="AC55" s="731">
        <f t="shared" si="14"/>
        <v>1.6911855946876622E-2</v>
      </c>
      <c r="AD55" s="731">
        <f t="shared" si="14"/>
        <v>1.7133996151927691E-2</v>
      </c>
      <c r="AE55" s="731">
        <f t="shared" si="14"/>
        <v>1.7359925493310439E-2</v>
      </c>
      <c r="AF55" s="731">
        <f t="shared" si="14"/>
        <v>1.7589717909591573E-2</v>
      </c>
      <c r="AG55" s="731">
        <f t="shared" si="14"/>
        <v>1.7823448873009871E-2</v>
      </c>
      <c r="AH55" s="731">
        <f t="shared" si="14"/>
        <v>1.8061195422170585E-2</v>
      </c>
      <c r="AI55" s="731">
        <f t="shared" si="14"/>
        <v>1.8303036195445675E-2</v>
      </c>
      <c r="AJ55" s="724"/>
    </row>
    <row r="56" spans="1:37" s="734" customFormat="1" x14ac:dyDescent="0.25">
      <c r="A56" s="734" t="s">
        <v>1084</v>
      </c>
      <c r="D56" s="727"/>
      <c r="E56" s="727"/>
      <c r="F56" s="727"/>
      <c r="G56" s="727"/>
      <c r="H56" s="727">
        <f>H$55*$B54</f>
        <v>3554.3539964338552</v>
      </c>
      <c r="I56" s="727">
        <f t="shared" ref="I56:AI56" si="15">I$55*$B54</f>
        <v>4292.3252415596507</v>
      </c>
      <c r="J56" s="727">
        <f t="shared" si="15"/>
        <v>4344.4286426945182</v>
      </c>
      <c r="K56" s="727">
        <f t="shared" si="15"/>
        <v>4397.3758665750247</v>
      </c>
      <c r="L56" s="727">
        <f t="shared" si="15"/>
        <v>4451.1829457776712</v>
      </c>
      <c r="M56" s="727">
        <f t="shared" si="15"/>
        <v>4505.8662412646918</v>
      </c>
      <c r="N56" s="727">
        <f t="shared" si="15"/>
        <v>4561.4424493434835</v>
      </c>
      <c r="O56" s="727">
        <f t="shared" si="15"/>
        <v>4617.9286087758328</v>
      </c>
      <c r="P56" s="727">
        <f t="shared" si="15"/>
        <v>4675.3421080402095</v>
      </c>
      <c r="Q56" s="727">
        <f t="shared" si="15"/>
        <v>4733.7006927504135</v>
      </c>
      <c r="R56" s="727">
        <f t="shared" si="15"/>
        <v>4793.0224732340057</v>
      </c>
      <c r="S56" s="727">
        <f t="shared" si="15"/>
        <v>4853.3259322739441</v>
      </c>
      <c r="T56" s="727">
        <f t="shared" si="15"/>
        <v>4914.6299330169995</v>
      </c>
      <c r="U56" s="727">
        <f t="shared" si="15"/>
        <v>4976.9537270525534</v>
      </c>
      <c r="V56" s="727">
        <f t="shared" si="15"/>
        <v>5040.3169626654726</v>
      </c>
      <c r="W56" s="727">
        <f t="shared" si="15"/>
        <v>5104.7396932668335</v>
      </c>
      <c r="X56" s="727">
        <f t="shared" si="15"/>
        <v>5170.2423860063736</v>
      </c>
      <c r="Y56" s="727">
        <f t="shared" si="15"/>
        <v>5236.845930570581</v>
      </c>
      <c r="Z56" s="727">
        <f t="shared" si="15"/>
        <v>5304.5716481704831</v>
      </c>
      <c r="AA56" s="727">
        <f t="shared" si="15"/>
        <v>5373.4413007232233</v>
      </c>
      <c r="AB56" s="727">
        <f t="shared" si="15"/>
        <v>5443.4771002316438</v>
      </c>
      <c r="AC56" s="727">
        <f t="shared" si="15"/>
        <v>5514.701718366171</v>
      </c>
      <c r="AD56" s="727">
        <f t="shared" si="15"/>
        <v>5587.1382962533899</v>
      </c>
      <c r="AE56" s="727">
        <f t="shared" si="15"/>
        <v>5660.8104544757925</v>
      </c>
      <c r="AF56" s="727">
        <f t="shared" si="15"/>
        <v>5735.7423032872839</v>
      </c>
      <c r="AG56" s="727">
        <f t="shared" si="15"/>
        <v>5811.9584530491511</v>
      </c>
      <c r="AH56" s="727">
        <f t="shared" si="15"/>
        <v>5889.4840248912151</v>
      </c>
      <c r="AI56" s="727">
        <f t="shared" si="15"/>
        <v>5968.3446616031451</v>
      </c>
      <c r="AJ56" s="727">
        <f>SUM(H56:AI56)</f>
        <v>140513.69379235362</v>
      </c>
    </row>
    <row r="57" spans="1:37" s="720" customFormat="1" x14ac:dyDescent="0.25">
      <c r="D57" s="729"/>
      <c r="E57" s="729"/>
      <c r="F57" s="729"/>
      <c r="G57" s="729"/>
      <c r="H57" s="729"/>
      <c r="I57" s="729"/>
      <c r="J57" s="729"/>
      <c r="K57" s="729"/>
      <c r="L57" s="729"/>
      <c r="M57" s="729"/>
      <c r="N57" s="729"/>
      <c r="O57" s="729"/>
      <c r="P57" s="729"/>
      <c r="Q57" s="729"/>
      <c r="R57" s="729"/>
      <c r="S57" s="729"/>
      <c r="T57" s="729"/>
      <c r="U57" s="729"/>
      <c r="V57" s="729"/>
      <c r="W57" s="729"/>
      <c r="X57" s="729"/>
      <c r="Y57" s="729"/>
      <c r="Z57" s="729"/>
      <c r="AA57" s="729"/>
      <c r="AB57" s="729"/>
      <c r="AC57" s="729"/>
      <c r="AD57" s="729"/>
      <c r="AE57" s="729"/>
      <c r="AF57" s="729"/>
      <c r="AG57" s="729"/>
      <c r="AH57" s="729"/>
      <c r="AI57" s="729"/>
      <c r="AJ57" s="724"/>
    </row>
    <row r="58" spans="1:37" s="720" customFormat="1" x14ac:dyDescent="0.25">
      <c r="A58" s="728" t="s">
        <v>1131</v>
      </c>
      <c r="D58" s="758"/>
      <c r="E58" s="758"/>
      <c r="F58" s="758"/>
      <c r="G58" s="758"/>
      <c r="H58" s="758">
        <f>SUM(H56,H50)</f>
        <v>4926.2855600617513</v>
      </c>
      <c r="I58" s="758">
        <f t="shared" ref="I58:AI58" si="16">SUM(I56,I50)</f>
        <v>6062.6791898241145</v>
      </c>
      <c r="J58" s="758">
        <f t="shared" si="16"/>
        <v>6138.1830325203327</v>
      </c>
      <c r="K58" s="758">
        <f t="shared" si="16"/>
        <v>6214.9574824092833</v>
      </c>
      <c r="L58" s="758">
        <f t="shared" si="16"/>
        <v>6293.0273630616603</v>
      </c>
      <c r="M58" s="758">
        <f t="shared" si="16"/>
        <v>6372.4180144808197</v>
      </c>
      <c r="N58" s="758">
        <f t="shared" si="16"/>
        <v>6453.155304133903</v>
      </c>
      <c r="O58" s="758">
        <f t="shared" si="16"/>
        <v>6535.2656382212981</v>
      </c>
      <c r="P58" s="758">
        <f t="shared" si="16"/>
        <v>6618.775973189654</v>
      </c>
      <c r="Q58" s="758">
        <f t="shared" si="16"/>
        <v>6703.7138274936951</v>
      </c>
      <c r="R58" s="758">
        <f t="shared" si="16"/>
        <v>6790.1072936122891</v>
      </c>
      <c r="S58" s="758">
        <f t="shared" si="16"/>
        <v>6877.9850503242378</v>
      </c>
      <c r="T58" s="758">
        <f t="shared" si="16"/>
        <v>6967.3763752494797</v>
      </c>
      <c r="U58" s="758">
        <f t="shared" si="16"/>
        <v>7058.3111576614447</v>
      </c>
      <c r="V58" s="758">
        <f t="shared" si="16"/>
        <v>7150.8199115764619</v>
      </c>
      <c r="W58" s="758">
        <f t="shared" si="16"/>
        <v>7244.9337891262267</v>
      </c>
      <c r="X58" s="758">
        <f t="shared" si="16"/>
        <v>7340.6845942195041</v>
      </c>
      <c r="Y58" s="758">
        <f t="shared" si="16"/>
        <v>7438.1047964993222</v>
      </c>
      <c r="Z58" s="758">
        <f t="shared" si="16"/>
        <v>7537.2275456021016</v>
      </c>
      <c r="AA58" s="758">
        <f t="shared" si="16"/>
        <v>7638.0866857252713</v>
      </c>
      <c r="AB58" s="758">
        <f t="shared" si="16"/>
        <v>7740.7167705100692</v>
      </c>
      <c r="AC58" s="758">
        <f t="shared" si="16"/>
        <v>7845.1530782463924</v>
      </c>
      <c r="AD58" s="758">
        <f t="shared" si="16"/>
        <v>7951.431627406685</v>
      </c>
      <c r="AE58" s="758">
        <f t="shared" si="16"/>
        <v>8059.5891925160231</v>
      </c>
      <c r="AF58" s="758">
        <f t="shared" si="16"/>
        <v>8169.6633203656856</v>
      </c>
      <c r="AG58" s="758">
        <f t="shared" si="16"/>
        <v>8281.6923465777327</v>
      </c>
      <c r="AH58" s="758">
        <f t="shared" si="16"/>
        <v>8395.7154125281158</v>
      </c>
      <c r="AI58" s="758">
        <f t="shared" si="16"/>
        <v>8511.7724826362428</v>
      </c>
      <c r="AJ58" s="724">
        <f>SUM(H58:AI58)</f>
        <v>199317.83281577981</v>
      </c>
    </row>
    <row r="59" spans="1:37" s="720" customFormat="1" x14ac:dyDescent="0.25">
      <c r="A59" s="728"/>
      <c r="D59" s="758"/>
      <c r="E59" s="758"/>
      <c r="F59" s="758"/>
      <c r="G59" s="758"/>
      <c r="H59" s="758"/>
      <c r="I59" s="758"/>
      <c r="J59" s="758"/>
      <c r="K59" s="758"/>
      <c r="L59" s="758"/>
      <c r="M59" s="758"/>
      <c r="N59" s="758"/>
      <c r="O59" s="758"/>
      <c r="P59" s="758"/>
      <c r="Q59" s="758"/>
      <c r="R59" s="758"/>
      <c r="S59" s="758"/>
      <c r="T59" s="758"/>
      <c r="U59" s="758"/>
      <c r="V59" s="758"/>
      <c r="W59" s="758"/>
      <c r="X59" s="758"/>
      <c r="Y59" s="758"/>
      <c r="Z59" s="758"/>
      <c r="AA59" s="758"/>
      <c r="AB59" s="758"/>
      <c r="AC59" s="758"/>
      <c r="AD59" s="758"/>
      <c r="AE59" s="758"/>
      <c r="AF59" s="758"/>
      <c r="AG59" s="758"/>
      <c r="AH59" s="758"/>
      <c r="AI59" s="758"/>
      <c r="AJ59" s="724"/>
    </row>
    <row r="60" spans="1:37" s="720" customFormat="1" x14ac:dyDescent="0.25">
      <c r="A60" s="720" t="s">
        <v>1085</v>
      </c>
      <c r="B60" s="759">
        <f>[3]Sustainability!D27</f>
        <v>8.8699999999999994E-3</v>
      </c>
      <c r="C60" s="720" t="s">
        <v>1072</v>
      </c>
      <c r="AJ60" s="724"/>
      <c r="AK60" s="720" t="s">
        <v>1073</v>
      </c>
    </row>
    <row r="61" spans="1:37" s="720" customFormat="1" x14ac:dyDescent="0.25">
      <c r="A61" s="720" t="s">
        <v>1086</v>
      </c>
      <c r="B61" s="759">
        <f>[3]Sustainability!D11</f>
        <v>1.0200860000000001E-2</v>
      </c>
      <c r="C61" s="720" t="s">
        <v>1072</v>
      </c>
      <c r="D61" s="730"/>
      <c r="E61" s="730"/>
      <c r="F61" s="730"/>
      <c r="G61" s="730"/>
      <c r="H61" s="730"/>
      <c r="I61" s="730"/>
      <c r="J61" s="730"/>
      <c r="K61" s="730"/>
      <c r="L61" s="730"/>
      <c r="M61" s="730"/>
      <c r="N61" s="730"/>
      <c r="O61" s="730"/>
      <c r="P61" s="730"/>
      <c r="Q61" s="730"/>
      <c r="R61" s="730"/>
      <c r="S61" s="730"/>
      <c r="T61" s="730"/>
      <c r="U61" s="730"/>
      <c r="V61" s="730"/>
      <c r="W61" s="730"/>
      <c r="X61" s="730"/>
      <c r="Y61" s="730"/>
      <c r="Z61" s="730"/>
      <c r="AA61" s="730"/>
      <c r="AB61" s="730"/>
      <c r="AC61" s="730"/>
      <c r="AD61" s="730"/>
      <c r="AE61" s="730"/>
      <c r="AF61" s="730"/>
      <c r="AG61" s="730"/>
      <c r="AH61" s="730"/>
      <c r="AI61" s="730"/>
      <c r="AJ61" s="724"/>
      <c r="AK61" s="720" t="s">
        <v>1075</v>
      </c>
    </row>
    <row r="62" spans="1:37" s="720" customFormat="1" x14ac:dyDescent="0.25">
      <c r="A62" s="720" t="s">
        <v>1087</v>
      </c>
      <c r="B62" s="720" t="s">
        <v>1088</v>
      </c>
      <c r="D62" s="730"/>
      <c r="E62" s="730"/>
      <c r="F62" s="730"/>
      <c r="G62" s="730"/>
      <c r="H62" s="730"/>
      <c r="I62" s="730"/>
      <c r="J62" s="730"/>
      <c r="K62" s="730"/>
      <c r="L62" s="730"/>
      <c r="M62" s="730"/>
      <c r="N62" s="730"/>
      <c r="O62" s="730"/>
      <c r="P62" s="730"/>
      <c r="Q62" s="730"/>
      <c r="R62" s="730"/>
      <c r="S62" s="730"/>
      <c r="T62" s="730"/>
      <c r="U62" s="730"/>
      <c r="V62" s="730"/>
      <c r="W62" s="730"/>
      <c r="X62" s="730"/>
      <c r="Y62" s="730"/>
      <c r="Z62" s="730"/>
      <c r="AA62" s="730"/>
      <c r="AB62" s="730"/>
      <c r="AC62" s="730"/>
      <c r="AD62" s="730"/>
      <c r="AE62" s="730"/>
      <c r="AF62" s="730"/>
      <c r="AG62" s="730"/>
      <c r="AH62" s="730"/>
      <c r="AI62" s="730"/>
      <c r="AJ62" s="724"/>
    </row>
    <row r="63" spans="1:37" s="720" customFormat="1" x14ac:dyDescent="0.25">
      <c r="A63" s="720" t="s">
        <v>1089</v>
      </c>
      <c r="D63" s="731"/>
      <c r="E63" s="731"/>
      <c r="F63" s="731"/>
      <c r="G63" s="731"/>
      <c r="H63" s="731">
        <f>H17*$B$60+H22*$B$61</f>
        <v>250.53272471419831</v>
      </c>
      <c r="I63" s="731">
        <f t="shared" ref="I63:AI63" si="17">I17*$B$60+I22*$B$61</f>
        <v>276.5630494756233</v>
      </c>
      <c r="J63" s="731">
        <f t="shared" si="17"/>
        <v>279.4830285428265</v>
      </c>
      <c r="K63" s="731">
        <f t="shared" si="17"/>
        <v>282.43935792522916</v>
      </c>
      <c r="L63" s="731">
        <f t="shared" si="17"/>
        <v>285.43257220598377</v>
      </c>
      <c r="M63" s="731">
        <f t="shared" si="17"/>
        <v>288.46321509052149</v>
      </c>
      <c r="N63" s="731">
        <f t="shared" si="17"/>
        <v>291.53183958010237</v>
      </c>
      <c r="O63" s="731">
        <f t="shared" si="17"/>
        <v>294.63900814889297</v>
      </c>
      <c r="P63" s="731">
        <f t="shared" si="17"/>
        <v>297.78529292464759</v>
      </c>
      <c r="Q63" s="731">
        <f t="shared" si="17"/>
        <v>300.97127587306807</v>
      </c>
      <c r="R63" s="731">
        <f t="shared" si="17"/>
        <v>304.19754898592055</v>
      </c>
      <c r="S63" s="731">
        <f t="shared" si="17"/>
        <v>307.46471447298723</v>
      </c>
      <c r="T63" s="731">
        <f t="shared" si="17"/>
        <v>310.7733849579356</v>
      </c>
      <c r="U63" s="731">
        <f t="shared" si="17"/>
        <v>314.12418367818668</v>
      </c>
      <c r="V63" s="731">
        <f t="shared" si="17"/>
        <v>317.51774468886691</v>
      </c>
      <c r="W63" s="731">
        <f t="shared" si="17"/>
        <v>320.95471307093044</v>
      </c>
      <c r="X63" s="731">
        <f t="shared" si="17"/>
        <v>324.43574514353992</v>
      </c>
      <c r="Y63" s="731">
        <f t="shared" si="17"/>
        <v>327.96150868079496</v>
      </c>
      <c r="Z63" s="731">
        <f t="shared" si="17"/>
        <v>331.53268313290181</v>
      </c>
      <c r="AA63" s="731">
        <f t="shared" si="17"/>
        <v>335.14995985187613</v>
      </c>
      <c r="AB63" s="731">
        <f t="shared" si="17"/>
        <v>338.81404232187703</v>
      </c>
      <c r="AC63" s="731">
        <f t="shared" si="17"/>
        <v>342.52564639426839</v>
      </c>
      <c r="AD63" s="731">
        <f t="shared" si="17"/>
        <v>346.28550052750973</v>
      </c>
      <c r="AE63" s="731">
        <f t="shared" si="17"/>
        <v>350.09434603197582</v>
      </c>
      <c r="AF63" s="731">
        <f t="shared" si="17"/>
        <v>353.95293731981371</v>
      </c>
      <c r="AG63" s="731">
        <f t="shared" si="17"/>
        <v>357.86204215994019</v>
      </c>
      <c r="AH63" s="731">
        <f t="shared" si="17"/>
        <v>361.82244193829001</v>
      </c>
      <c r="AI63" s="731">
        <f t="shared" si="17"/>
        <v>365.83493192342763</v>
      </c>
      <c r="AJ63" s="724"/>
    </row>
    <row r="64" spans="1:37" s="760" customFormat="1" x14ac:dyDescent="0.25">
      <c r="A64" s="760" t="s">
        <v>1090</v>
      </c>
      <c r="B64" s="734" t="s">
        <v>1091</v>
      </c>
      <c r="D64" s="749"/>
      <c r="E64" s="749"/>
      <c r="F64" s="749"/>
      <c r="G64" s="749"/>
      <c r="H64" s="749">
        <f>H63*[3]Sustainability!J6</f>
        <v>6954.125722562002</v>
      </c>
      <c r="I64" s="749">
        <f>I63*[3]Sustainability!K6</f>
        <v>7834.6146218213762</v>
      </c>
      <c r="J64" s="749">
        <f>J63*[3]Sustainability!L6</f>
        <v>8076.9568844542691</v>
      </c>
      <c r="K64" s="749">
        <f>K63*[3]Sustainability!M6</f>
        <v>8323.7058467027291</v>
      </c>
      <c r="L64" s="749">
        <f>L63*[3]Sustainability!N6</f>
        <v>8574.9398517127102</v>
      </c>
      <c r="M64" s="749">
        <f>M63*[3]Sustainability!O6</f>
        <v>8896.6397785728968</v>
      </c>
      <c r="N64" s="749">
        <f>N63*[3]Sustainability!P6</f>
        <v>9191.0870165379656</v>
      </c>
      <c r="O64" s="749">
        <f>O63*[3]Sustainability!Q6</f>
        <v>9524.6380771254608</v>
      </c>
      <c r="P64" s="749">
        <f>P63*[3]Sustainability!R6</f>
        <v>9830.4384957698621</v>
      </c>
      <c r="Q64" s="749">
        <f>Q63*[3]Sustainability!S6</f>
        <v>10176.26863577961</v>
      </c>
      <c r="R64" s="749">
        <f>R63*[3]Sustainability!T6</f>
        <v>10493.840432986339</v>
      </c>
      <c r="S64" s="749">
        <f>S63*[3]Sustainability!U6</f>
        <v>10852.394290290807</v>
      </c>
      <c r="T64" s="749">
        <f>T63*[3]Sustainability!V6</f>
        <v>11182.172167715426</v>
      </c>
      <c r="U64" s="749">
        <f>U63*[3]Sustainability!W6</f>
        <v>11518.030072027441</v>
      </c>
      <c r="V64" s="749">
        <f>V63*[3]Sustainability!X6</f>
        <v>11896.347659263682</v>
      </c>
      <c r="W64" s="749">
        <f>W63*[3]Sustainability!Y6</f>
        <v>12245.091282570114</v>
      </c>
      <c r="X64" s="749">
        <f>X63*[3]Sustainability!Z6</f>
        <v>12637.316975816058</v>
      </c>
      <c r="Y64" s="749">
        <f>Y63*[3]Sustainability!AA6</f>
        <v>12999.425309739998</v>
      </c>
      <c r="Z64" s="749">
        <f>Z63*[3]Sustainability!AB6</f>
        <v>13406.067851910748</v>
      </c>
      <c r="AA64" s="749">
        <f>AA63*[3]Sustainability!AC6</f>
        <v>13782.039019751075</v>
      </c>
      <c r="AB64" s="749">
        <f>AB63*[3]Sustainability!AD6</f>
        <v>14203.627317542449</v>
      </c>
      <c r="AC64" s="749">
        <f>AC63*[3]Sustainability!AE6</f>
        <v>14593.97940586722</v>
      </c>
      <c r="AD64" s="749">
        <f>AD63*[3]Sustainability!AF6</f>
        <v>14991.507972298235</v>
      </c>
      <c r="AE64" s="749">
        <f>AE63*[3]Sustainability!AG6</f>
        <v>15436.33533096821</v>
      </c>
      <c r="AF64" s="749">
        <f>AF63*[3]Sustainability!AH6</f>
        <v>15849.055653720889</v>
      </c>
      <c r="AG64" s="749">
        <f>AG63*[3]Sustainability!AI6</f>
        <v>16269.361557704933</v>
      </c>
      <c r="AH64" s="749">
        <f>AH63*[3]Sustainability!AJ6</f>
        <v>16697.39296327476</v>
      </c>
      <c r="AI64" s="749">
        <f>AI63*[3]Sustainability!AK6</f>
        <v>17091.504064603982</v>
      </c>
      <c r="AJ64" s="749">
        <f>SUM(H64:AI64)</f>
        <v>333528.9042590913</v>
      </c>
    </row>
    <row r="65" spans="1:37" s="720" customFormat="1" x14ac:dyDescent="0.25">
      <c r="AJ65" s="724"/>
    </row>
    <row r="66" spans="1:37" s="720" customFormat="1" x14ac:dyDescent="0.25">
      <c r="A66" s="728" t="s">
        <v>1092</v>
      </c>
      <c r="AJ66" s="724"/>
    </row>
    <row r="67" spans="1:37" s="720" customFormat="1" x14ac:dyDescent="0.25">
      <c r="A67" s="720" t="s">
        <v>1093</v>
      </c>
      <c r="B67" s="751">
        <f>[3]Safety!E22</f>
        <v>6.6666666666666666E-2</v>
      </c>
      <c r="C67" s="720" t="s">
        <v>1094</v>
      </c>
      <c r="AJ67" s="724"/>
      <c r="AK67" s="720" t="s">
        <v>1095</v>
      </c>
    </row>
    <row r="68" spans="1:37" s="720" customFormat="1" x14ac:dyDescent="0.25">
      <c r="A68" s="720" t="s">
        <v>1096</v>
      </c>
      <c r="B68" s="761">
        <f>[3]Safety!H17</f>
        <v>9295199.182839632</v>
      </c>
      <c r="AJ68" s="724"/>
      <c r="AK68" s="720" t="s">
        <v>1097</v>
      </c>
    </row>
    <row r="69" spans="1:37" s="734" customFormat="1" x14ac:dyDescent="0.25">
      <c r="A69" s="734" t="s">
        <v>1098</v>
      </c>
      <c r="D69" s="748"/>
      <c r="E69" s="748"/>
      <c r="F69" s="748"/>
      <c r="G69" s="748"/>
      <c r="H69" s="748">
        <f>$B$67*$B$68</f>
        <v>619679.94552264211</v>
      </c>
      <c r="I69" s="748">
        <f t="shared" ref="I69:AI69" si="18">$B$67*$B$68</f>
        <v>619679.94552264211</v>
      </c>
      <c r="J69" s="748">
        <f t="shared" si="18"/>
        <v>619679.94552264211</v>
      </c>
      <c r="K69" s="748">
        <f t="shared" si="18"/>
        <v>619679.94552264211</v>
      </c>
      <c r="L69" s="748">
        <f t="shared" si="18"/>
        <v>619679.94552264211</v>
      </c>
      <c r="M69" s="748">
        <f t="shared" si="18"/>
        <v>619679.94552264211</v>
      </c>
      <c r="N69" s="748">
        <f t="shared" si="18"/>
        <v>619679.94552264211</v>
      </c>
      <c r="O69" s="748">
        <f t="shared" si="18"/>
        <v>619679.94552264211</v>
      </c>
      <c r="P69" s="748">
        <f t="shared" si="18"/>
        <v>619679.94552264211</v>
      </c>
      <c r="Q69" s="748">
        <f t="shared" si="18"/>
        <v>619679.94552264211</v>
      </c>
      <c r="R69" s="748">
        <f t="shared" si="18"/>
        <v>619679.94552264211</v>
      </c>
      <c r="S69" s="748">
        <f t="shared" si="18"/>
        <v>619679.94552264211</v>
      </c>
      <c r="T69" s="748">
        <f t="shared" si="18"/>
        <v>619679.94552264211</v>
      </c>
      <c r="U69" s="748">
        <f t="shared" si="18"/>
        <v>619679.94552264211</v>
      </c>
      <c r="V69" s="748">
        <f t="shared" si="18"/>
        <v>619679.94552264211</v>
      </c>
      <c r="W69" s="748">
        <f t="shared" si="18"/>
        <v>619679.94552264211</v>
      </c>
      <c r="X69" s="748">
        <f t="shared" si="18"/>
        <v>619679.94552264211</v>
      </c>
      <c r="Y69" s="748">
        <f t="shared" si="18"/>
        <v>619679.94552264211</v>
      </c>
      <c r="Z69" s="748">
        <f t="shared" si="18"/>
        <v>619679.94552264211</v>
      </c>
      <c r="AA69" s="748">
        <f t="shared" si="18"/>
        <v>619679.94552264211</v>
      </c>
      <c r="AB69" s="748">
        <f t="shared" si="18"/>
        <v>619679.94552264211</v>
      </c>
      <c r="AC69" s="748">
        <f t="shared" si="18"/>
        <v>619679.94552264211</v>
      </c>
      <c r="AD69" s="748">
        <f t="shared" si="18"/>
        <v>619679.94552264211</v>
      </c>
      <c r="AE69" s="748">
        <f t="shared" si="18"/>
        <v>619679.94552264211</v>
      </c>
      <c r="AF69" s="748">
        <f t="shared" si="18"/>
        <v>619679.94552264211</v>
      </c>
      <c r="AG69" s="748">
        <f t="shared" si="18"/>
        <v>619679.94552264211</v>
      </c>
      <c r="AH69" s="748">
        <f t="shared" si="18"/>
        <v>619679.94552264211</v>
      </c>
      <c r="AI69" s="748">
        <f t="shared" si="18"/>
        <v>619679.94552264211</v>
      </c>
      <c r="AJ69" s="727">
        <f>SUM(H69:AI69)</f>
        <v>17351038.474633973</v>
      </c>
    </row>
    <row r="70" spans="1:37" s="734" customFormat="1" x14ac:dyDescent="0.25">
      <c r="D70" s="748"/>
      <c r="E70" s="748"/>
      <c r="F70" s="748"/>
      <c r="G70" s="748"/>
      <c r="H70" s="748"/>
      <c r="I70" s="748"/>
      <c r="J70" s="748"/>
      <c r="K70" s="748"/>
      <c r="L70" s="748"/>
      <c r="M70" s="748"/>
      <c r="N70" s="748"/>
      <c r="O70" s="748"/>
      <c r="P70" s="748"/>
      <c r="Q70" s="748"/>
      <c r="R70" s="748"/>
      <c r="S70" s="748"/>
      <c r="T70" s="748"/>
      <c r="U70" s="748"/>
      <c r="V70" s="748"/>
      <c r="W70" s="748"/>
      <c r="X70" s="748"/>
      <c r="Y70" s="748"/>
      <c r="Z70" s="748"/>
      <c r="AA70" s="748"/>
      <c r="AB70" s="748"/>
      <c r="AC70" s="748"/>
      <c r="AD70" s="748"/>
      <c r="AE70" s="748"/>
      <c r="AF70" s="748"/>
      <c r="AG70" s="748"/>
      <c r="AH70" s="748"/>
      <c r="AI70" s="748"/>
      <c r="AJ70" s="749"/>
    </row>
    <row r="71" spans="1:37" s="720" customFormat="1" x14ac:dyDescent="0.25">
      <c r="A71" s="720" t="s">
        <v>1099</v>
      </c>
      <c r="B71" s="751">
        <f>[3]Safety!E23</f>
        <v>0.2</v>
      </c>
      <c r="C71" s="720" t="s">
        <v>1100</v>
      </c>
      <c r="D71" s="729"/>
      <c r="E71" s="729"/>
      <c r="F71" s="729"/>
      <c r="G71" s="729"/>
      <c r="H71" s="729"/>
      <c r="I71" s="729"/>
      <c r="J71" s="729"/>
      <c r="K71" s="729"/>
      <c r="L71" s="729"/>
      <c r="M71" s="729"/>
      <c r="N71" s="729"/>
      <c r="O71" s="729"/>
      <c r="P71" s="729"/>
      <c r="Q71" s="729"/>
      <c r="R71" s="729"/>
      <c r="S71" s="729"/>
      <c r="T71" s="729"/>
      <c r="U71" s="729"/>
      <c r="V71" s="729"/>
      <c r="W71" s="729"/>
      <c r="X71" s="729"/>
      <c r="Y71" s="729"/>
      <c r="Z71" s="729"/>
      <c r="AA71" s="729"/>
      <c r="AB71" s="729"/>
      <c r="AC71" s="729"/>
      <c r="AD71" s="729"/>
      <c r="AE71" s="729"/>
      <c r="AF71" s="729"/>
      <c r="AG71" s="729"/>
      <c r="AH71" s="729"/>
      <c r="AI71" s="729"/>
      <c r="AJ71" s="724"/>
      <c r="AK71" s="720" t="s">
        <v>1095</v>
      </c>
    </row>
    <row r="72" spans="1:37" s="720" customFormat="1" x14ac:dyDescent="0.25">
      <c r="A72" s="720" t="s">
        <v>1101</v>
      </c>
      <c r="B72" s="751">
        <f>SUM([3]Safety!F32:F33)</f>
        <v>2.2999999999999998</v>
      </c>
      <c r="C72" s="720" t="s">
        <v>1100</v>
      </c>
      <c r="D72" s="762"/>
      <c r="E72" s="762"/>
      <c r="F72" s="762"/>
      <c r="G72" s="762"/>
      <c r="H72" s="762"/>
      <c r="I72" s="762"/>
      <c r="J72" s="762"/>
      <c r="K72" s="762"/>
      <c r="L72" s="762"/>
      <c r="M72" s="762"/>
      <c r="N72" s="762"/>
      <c r="O72" s="762"/>
      <c r="P72" s="762"/>
      <c r="Q72" s="762"/>
      <c r="R72" s="762"/>
      <c r="S72" s="762"/>
      <c r="T72" s="762"/>
      <c r="U72" s="762"/>
      <c r="V72" s="762"/>
      <c r="W72" s="762"/>
      <c r="X72" s="762"/>
      <c r="Y72" s="762"/>
      <c r="Z72" s="762"/>
      <c r="AA72" s="762"/>
      <c r="AB72" s="762"/>
      <c r="AC72" s="762"/>
      <c r="AD72" s="762"/>
      <c r="AE72" s="762"/>
      <c r="AF72" s="762"/>
      <c r="AG72" s="762"/>
      <c r="AH72" s="762"/>
      <c r="AI72" s="762"/>
      <c r="AJ72" s="724"/>
    </row>
    <row r="73" spans="1:37" s="720" customFormat="1" x14ac:dyDescent="0.25">
      <c r="A73" s="720" t="s">
        <v>1102</v>
      </c>
      <c r="B73" s="761">
        <f>[3]Safety!F15</f>
        <v>168504.11440245147</v>
      </c>
      <c r="D73" s="729"/>
      <c r="E73" s="729"/>
      <c r="F73" s="729"/>
      <c r="G73" s="729"/>
      <c r="H73" s="729"/>
      <c r="I73" s="729"/>
      <c r="J73" s="729"/>
      <c r="K73" s="729"/>
      <c r="L73" s="729"/>
      <c r="M73" s="729"/>
      <c r="N73" s="729"/>
      <c r="O73" s="729"/>
      <c r="P73" s="729"/>
      <c r="Q73" s="729"/>
      <c r="R73" s="729"/>
      <c r="S73" s="729"/>
      <c r="T73" s="729"/>
      <c r="U73" s="729"/>
      <c r="V73" s="729"/>
      <c r="W73" s="729"/>
      <c r="X73" s="729"/>
      <c r="Y73" s="729"/>
      <c r="Z73" s="729"/>
      <c r="AA73" s="729"/>
      <c r="AB73" s="729"/>
      <c r="AC73" s="729"/>
      <c r="AD73" s="729"/>
      <c r="AE73" s="729"/>
      <c r="AF73" s="729"/>
      <c r="AG73" s="729"/>
      <c r="AH73" s="729"/>
      <c r="AI73" s="729"/>
      <c r="AJ73" s="724"/>
      <c r="AK73" s="720" t="s">
        <v>1097</v>
      </c>
    </row>
    <row r="74" spans="1:37" s="734" customFormat="1" x14ac:dyDescent="0.25">
      <c r="A74" s="734" t="s">
        <v>1103</v>
      </c>
      <c r="B74" s="763"/>
      <c r="D74" s="748"/>
      <c r="E74" s="748"/>
      <c r="F74" s="748"/>
      <c r="G74" s="748"/>
      <c r="H74" s="764">
        <f>($B$71+$B$72)*$B$73</f>
        <v>421260.28600612865</v>
      </c>
      <c r="I74" s="764">
        <f t="shared" ref="I74:AI74" si="19">($B$71+$B$72)*$B$73</f>
        <v>421260.28600612865</v>
      </c>
      <c r="J74" s="764">
        <f t="shared" si="19"/>
        <v>421260.28600612865</v>
      </c>
      <c r="K74" s="764">
        <f t="shared" si="19"/>
        <v>421260.28600612865</v>
      </c>
      <c r="L74" s="764">
        <f t="shared" si="19"/>
        <v>421260.28600612865</v>
      </c>
      <c r="M74" s="764">
        <f t="shared" si="19"/>
        <v>421260.28600612865</v>
      </c>
      <c r="N74" s="764">
        <f t="shared" si="19"/>
        <v>421260.28600612865</v>
      </c>
      <c r="O74" s="764">
        <f t="shared" si="19"/>
        <v>421260.28600612865</v>
      </c>
      <c r="P74" s="764">
        <f t="shared" si="19"/>
        <v>421260.28600612865</v>
      </c>
      <c r="Q74" s="764">
        <f t="shared" si="19"/>
        <v>421260.28600612865</v>
      </c>
      <c r="R74" s="764">
        <f t="shared" si="19"/>
        <v>421260.28600612865</v>
      </c>
      <c r="S74" s="764">
        <f t="shared" si="19"/>
        <v>421260.28600612865</v>
      </c>
      <c r="T74" s="764">
        <f t="shared" si="19"/>
        <v>421260.28600612865</v>
      </c>
      <c r="U74" s="764">
        <f t="shared" si="19"/>
        <v>421260.28600612865</v>
      </c>
      <c r="V74" s="764">
        <f t="shared" si="19"/>
        <v>421260.28600612865</v>
      </c>
      <c r="W74" s="764">
        <f t="shared" si="19"/>
        <v>421260.28600612865</v>
      </c>
      <c r="X74" s="764">
        <f t="shared" si="19"/>
        <v>421260.28600612865</v>
      </c>
      <c r="Y74" s="764">
        <f t="shared" si="19"/>
        <v>421260.28600612865</v>
      </c>
      <c r="Z74" s="764">
        <f t="shared" si="19"/>
        <v>421260.28600612865</v>
      </c>
      <c r="AA74" s="764">
        <f t="shared" si="19"/>
        <v>421260.28600612865</v>
      </c>
      <c r="AB74" s="764">
        <f t="shared" si="19"/>
        <v>421260.28600612865</v>
      </c>
      <c r="AC74" s="764">
        <f t="shared" si="19"/>
        <v>421260.28600612865</v>
      </c>
      <c r="AD74" s="764">
        <f t="shared" si="19"/>
        <v>421260.28600612865</v>
      </c>
      <c r="AE74" s="764">
        <f t="shared" si="19"/>
        <v>421260.28600612865</v>
      </c>
      <c r="AF74" s="764">
        <f t="shared" si="19"/>
        <v>421260.28600612865</v>
      </c>
      <c r="AG74" s="764">
        <f t="shared" si="19"/>
        <v>421260.28600612865</v>
      </c>
      <c r="AH74" s="764">
        <f t="shared" si="19"/>
        <v>421260.28600612865</v>
      </c>
      <c r="AI74" s="764">
        <f t="shared" si="19"/>
        <v>421260.28600612865</v>
      </c>
      <c r="AJ74" s="727">
        <f>SUM(H74:AI74)</f>
        <v>11795288.008171597</v>
      </c>
    </row>
    <row r="75" spans="1:37" s="734" customFormat="1" x14ac:dyDescent="0.25">
      <c r="B75" s="763"/>
      <c r="D75" s="748"/>
      <c r="E75" s="748"/>
      <c r="F75" s="748"/>
      <c r="G75" s="748"/>
      <c r="H75" s="748"/>
      <c r="I75" s="748"/>
      <c r="J75" s="748"/>
      <c r="K75" s="748"/>
      <c r="L75" s="748"/>
      <c r="M75" s="748"/>
      <c r="N75" s="748"/>
      <c r="O75" s="748"/>
      <c r="P75" s="748"/>
      <c r="Q75" s="748"/>
      <c r="R75" s="748"/>
      <c r="S75" s="748"/>
      <c r="T75" s="748"/>
      <c r="U75" s="748"/>
      <c r="V75" s="748"/>
      <c r="W75" s="748"/>
      <c r="X75" s="748"/>
      <c r="Y75" s="748"/>
      <c r="Z75" s="748"/>
      <c r="AA75" s="748"/>
      <c r="AB75" s="748"/>
      <c r="AC75" s="748"/>
      <c r="AD75" s="748"/>
      <c r="AE75" s="748"/>
      <c r="AF75" s="748"/>
      <c r="AG75" s="748"/>
      <c r="AH75" s="748"/>
      <c r="AI75" s="748"/>
      <c r="AJ75" s="749"/>
    </row>
    <row r="76" spans="1:37" s="734" customFormat="1" x14ac:dyDescent="0.25">
      <c r="A76" s="720" t="s">
        <v>1104</v>
      </c>
      <c r="B76" s="750">
        <f>[3]Safety!E24</f>
        <v>0.26666666666666666</v>
      </c>
      <c r="C76" s="720" t="s">
        <v>1105</v>
      </c>
      <c r="D76" s="748"/>
      <c r="E76" s="748"/>
      <c r="F76" s="748"/>
      <c r="G76" s="748"/>
      <c r="H76" s="748"/>
      <c r="I76" s="748"/>
      <c r="J76" s="748"/>
      <c r="K76" s="748"/>
      <c r="L76" s="748"/>
      <c r="M76" s="748"/>
      <c r="N76" s="748"/>
      <c r="O76" s="748"/>
      <c r="P76" s="748"/>
      <c r="Q76" s="748"/>
      <c r="R76" s="748"/>
      <c r="S76" s="748"/>
      <c r="T76" s="748"/>
      <c r="U76" s="748"/>
      <c r="V76" s="748"/>
      <c r="W76" s="748"/>
      <c r="X76" s="748"/>
      <c r="Y76" s="748"/>
      <c r="Z76" s="748"/>
      <c r="AA76" s="748"/>
      <c r="AB76" s="748"/>
      <c r="AC76" s="748"/>
      <c r="AD76" s="748"/>
      <c r="AE76" s="748"/>
      <c r="AF76" s="748"/>
      <c r="AG76" s="748"/>
      <c r="AH76" s="748"/>
      <c r="AI76" s="748"/>
      <c r="AJ76" s="749"/>
      <c r="AK76" s="720" t="s">
        <v>1095</v>
      </c>
    </row>
    <row r="77" spans="1:37" s="734" customFormat="1" x14ac:dyDescent="0.25">
      <c r="A77" s="720" t="s">
        <v>1106</v>
      </c>
      <c r="B77" s="736">
        <f>[3]Safety!E25</f>
        <v>7533.333333333333</v>
      </c>
      <c r="C77" s="720"/>
      <c r="D77" s="748"/>
      <c r="E77" s="748"/>
      <c r="F77" s="748"/>
      <c r="G77" s="748"/>
      <c r="H77" s="748"/>
      <c r="I77" s="748"/>
      <c r="J77" s="748"/>
      <c r="K77" s="748"/>
      <c r="L77" s="748"/>
      <c r="M77" s="748"/>
      <c r="N77" s="748"/>
      <c r="O77" s="748"/>
      <c r="P77" s="748"/>
      <c r="Q77" s="748"/>
      <c r="R77" s="748"/>
      <c r="S77" s="748"/>
      <c r="T77" s="748"/>
      <c r="U77" s="748"/>
      <c r="V77" s="748"/>
      <c r="W77" s="748"/>
      <c r="X77" s="748"/>
      <c r="Y77" s="748"/>
      <c r="Z77" s="748"/>
      <c r="AA77" s="748"/>
      <c r="AB77" s="748"/>
      <c r="AC77" s="748"/>
      <c r="AD77" s="748"/>
      <c r="AE77" s="748"/>
      <c r="AF77" s="748"/>
      <c r="AG77" s="748"/>
      <c r="AH77" s="748"/>
      <c r="AI77" s="748"/>
      <c r="AJ77" s="749"/>
      <c r="AK77" s="720" t="s">
        <v>1095</v>
      </c>
    </row>
    <row r="78" spans="1:37" s="734" customFormat="1" x14ac:dyDescent="0.25">
      <c r="A78" s="734" t="s">
        <v>1107</v>
      </c>
      <c r="B78" s="763"/>
      <c r="D78" s="748"/>
      <c r="E78" s="748"/>
      <c r="F78" s="748"/>
      <c r="G78" s="748"/>
      <c r="H78" s="748">
        <f>$B$76*$B$77</f>
        <v>2008.8888888888887</v>
      </c>
      <c r="I78" s="748">
        <f t="shared" ref="I78:AI78" si="20">$B$76*$B$77</f>
        <v>2008.8888888888887</v>
      </c>
      <c r="J78" s="748">
        <f t="shared" si="20"/>
        <v>2008.8888888888887</v>
      </c>
      <c r="K78" s="748">
        <f t="shared" si="20"/>
        <v>2008.8888888888887</v>
      </c>
      <c r="L78" s="748">
        <f t="shared" si="20"/>
        <v>2008.8888888888887</v>
      </c>
      <c r="M78" s="748">
        <f t="shared" si="20"/>
        <v>2008.8888888888887</v>
      </c>
      <c r="N78" s="748">
        <f t="shared" si="20"/>
        <v>2008.8888888888887</v>
      </c>
      <c r="O78" s="748">
        <f t="shared" si="20"/>
        <v>2008.8888888888887</v>
      </c>
      <c r="P78" s="748">
        <f t="shared" si="20"/>
        <v>2008.8888888888887</v>
      </c>
      <c r="Q78" s="748">
        <f t="shared" si="20"/>
        <v>2008.8888888888887</v>
      </c>
      <c r="R78" s="748">
        <f t="shared" si="20"/>
        <v>2008.8888888888887</v>
      </c>
      <c r="S78" s="748">
        <f t="shared" si="20"/>
        <v>2008.8888888888887</v>
      </c>
      <c r="T78" s="748">
        <f t="shared" si="20"/>
        <v>2008.8888888888887</v>
      </c>
      <c r="U78" s="748">
        <f t="shared" si="20"/>
        <v>2008.8888888888887</v>
      </c>
      <c r="V78" s="748">
        <f t="shared" si="20"/>
        <v>2008.8888888888887</v>
      </c>
      <c r="W78" s="748">
        <f t="shared" si="20"/>
        <v>2008.8888888888887</v>
      </c>
      <c r="X78" s="748">
        <f t="shared" si="20"/>
        <v>2008.8888888888887</v>
      </c>
      <c r="Y78" s="748">
        <f t="shared" si="20"/>
        <v>2008.8888888888887</v>
      </c>
      <c r="Z78" s="748">
        <f t="shared" si="20"/>
        <v>2008.8888888888887</v>
      </c>
      <c r="AA78" s="748">
        <f t="shared" si="20"/>
        <v>2008.8888888888887</v>
      </c>
      <c r="AB78" s="748">
        <f t="shared" si="20"/>
        <v>2008.8888888888887</v>
      </c>
      <c r="AC78" s="748">
        <f t="shared" si="20"/>
        <v>2008.8888888888887</v>
      </c>
      <c r="AD78" s="748">
        <f t="shared" si="20"/>
        <v>2008.8888888888887</v>
      </c>
      <c r="AE78" s="748">
        <f t="shared" si="20"/>
        <v>2008.8888888888887</v>
      </c>
      <c r="AF78" s="748">
        <f t="shared" si="20"/>
        <v>2008.8888888888887</v>
      </c>
      <c r="AG78" s="748">
        <f t="shared" si="20"/>
        <v>2008.8888888888887</v>
      </c>
      <c r="AH78" s="748">
        <f t="shared" si="20"/>
        <v>2008.8888888888887</v>
      </c>
      <c r="AI78" s="748">
        <f t="shared" si="20"/>
        <v>2008.8888888888887</v>
      </c>
      <c r="AJ78" s="749"/>
    </row>
    <row r="79" spans="1:37" s="734" customFormat="1" x14ac:dyDescent="0.25">
      <c r="B79" s="763"/>
      <c r="D79" s="748"/>
      <c r="E79" s="748"/>
      <c r="F79" s="748"/>
      <c r="G79" s="748"/>
      <c r="H79" s="748"/>
      <c r="I79" s="748"/>
      <c r="J79" s="748"/>
      <c r="K79" s="748"/>
      <c r="L79" s="748"/>
      <c r="M79" s="748"/>
      <c r="N79" s="748"/>
      <c r="O79" s="748"/>
      <c r="P79" s="748"/>
      <c r="Q79" s="748"/>
      <c r="R79" s="748"/>
      <c r="S79" s="748"/>
      <c r="T79" s="748"/>
      <c r="U79" s="748"/>
      <c r="V79" s="748"/>
      <c r="W79" s="748"/>
      <c r="X79" s="748"/>
      <c r="Y79" s="748"/>
      <c r="Z79" s="748"/>
      <c r="AA79" s="748"/>
      <c r="AB79" s="748"/>
      <c r="AC79" s="748"/>
      <c r="AD79" s="748"/>
      <c r="AE79" s="748"/>
      <c r="AF79" s="748"/>
      <c r="AG79" s="748"/>
      <c r="AH79" s="748"/>
      <c r="AI79" s="748"/>
      <c r="AJ79" s="749"/>
    </row>
    <row r="80" spans="1:37" s="720" customFormat="1" x14ac:dyDescent="0.25">
      <c r="A80" s="728" t="s">
        <v>1108</v>
      </c>
      <c r="B80" s="758"/>
      <c r="C80" s="728"/>
      <c r="D80" s="758"/>
      <c r="E80" s="758"/>
      <c r="F80" s="758"/>
      <c r="G80" s="758"/>
      <c r="H80" s="758">
        <f>SUM(H78,H74,H69)</f>
        <v>1042949.1204176596</v>
      </c>
      <c r="I80" s="758">
        <f t="shared" ref="I80:AI80" si="21">SUM(I78,I74,I69)</f>
        <v>1042949.1204176596</v>
      </c>
      <c r="J80" s="758">
        <f t="shared" si="21"/>
        <v>1042949.1204176596</v>
      </c>
      <c r="K80" s="758">
        <f t="shared" si="21"/>
        <v>1042949.1204176596</v>
      </c>
      <c r="L80" s="758">
        <f t="shared" si="21"/>
        <v>1042949.1204176596</v>
      </c>
      <c r="M80" s="758">
        <f t="shared" si="21"/>
        <v>1042949.1204176596</v>
      </c>
      <c r="N80" s="758">
        <f t="shared" si="21"/>
        <v>1042949.1204176596</v>
      </c>
      <c r="O80" s="758">
        <f t="shared" si="21"/>
        <v>1042949.1204176596</v>
      </c>
      <c r="P80" s="758">
        <f t="shared" si="21"/>
        <v>1042949.1204176596</v>
      </c>
      <c r="Q80" s="758">
        <f t="shared" si="21"/>
        <v>1042949.1204176596</v>
      </c>
      <c r="R80" s="758">
        <f t="shared" si="21"/>
        <v>1042949.1204176596</v>
      </c>
      <c r="S80" s="758">
        <f t="shared" si="21"/>
        <v>1042949.1204176596</v>
      </c>
      <c r="T80" s="758">
        <f t="shared" si="21"/>
        <v>1042949.1204176596</v>
      </c>
      <c r="U80" s="758">
        <f t="shared" si="21"/>
        <v>1042949.1204176596</v>
      </c>
      <c r="V80" s="758">
        <f t="shared" si="21"/>
        <v>1042949.1204176596</v>
      </c>
      <c r="W80" s="758">
        <f t="shared" si="21"/>
        <v>1042949.1204176596</v>
      </c>
      <c r="X80" s="758">
        <f t="shared" si="21"/>
        <v>1042949.1204176596</v>
      </c>
      <c r="Y80" s="758">
        <f t="shared" si="21"/>
        <v>1042949.1204176596</v>
      </c>
      <c r="Z80" s="758">
        <f t="shared" si="21"/>
        <v>1042949.1204176596</v>
      </c>
      <c r="AA80" s="758">
        <f t="shared" si="21"/>
        <v>1042949.1204176596</v>
      </c>
      <c r="AB80" s="758">
        <f t="shared" si="21"/>
        <v>1042949.1204176596</v>
      </c>
      <c r="AC80" s="758">
        <f t="shared" si="21"/>
        <v>1042949.1204176596</v>
      </c>
      <c r="AD80" s="758">
        <f t="shared" si="21"/>
        <v>1042949.1204176596</v>
      </c>
      <c r="AE80" s="758">
        <f t="shared" si="21"/>
        <v>1042949.1204176596</v>
      </c>
      <c r="AF80" s="758">
        <f t="shared" si="21"/>
        <v>1042949.1204176596</v>
      </c>
      <c r="AG80" s="758">
        <f t="shared" si="21"/>
        <v>1042949.1204176596</v>
      </c>
      <c r="AH80" s="758">
        <f t="shared" si="21"/>
        <v>1042949.1204176596</v>
      </c>
      <c r="AI80" s="758">
        <f t="shared" si="21"/>
        <v>1042949.1204176596</v>
      </c>
      <c r="AJ80" s="724">
        <f>SUM(H80:AI80)</f>
        <v>29202575.371694461</v>
      </c>
    </row>
    <row r="81" spans="1:36" s="720" customFormat="1" x14ac:dyDescent="0.25">
      <c r="A81" s="728"/>
      <c r="B81" s="758"/>
      <c r="C81" s="728"/>
      <c r="D81" s="758"/>
      <c r="E81" s="758"/>
      <c r="F81" s="758"/>
      <c r="G81" s="758"/>
      <c r="H81" s="758"/>
      <c r="I81" s="758"/>
      <c r="J81" s="758"/>
      <c r="K81" s="758"/>
      <c r="L81" s="758"/>
      <c r="M81" s="758"/>
      <c r="N81" s="758"/>
      <c r="O81" s="758"/>
      <c r="P81" s="758"/>
      <c r="Q81" s="758"/>
      <c r="R81" s="758"/>
      <c r="S81" s="758"/>
      <c r="T81" s="758"/>
      <c r="U81" s="758"/>
      <c r="V81" s="758"/>
      <c r="W81" s="758"/>
      <c r="X81" s="758"/>
      <c r="Y81" s="758"/>
      <c r="Z81" s="758"/>
      <c r="AA81" s="758"/>
      <c r="AB81" s="758"/>
      <c r="AC81" s="758"/>
      <c r="AD81" s="758"/>
      <c r="AE81" s="758"/>
      <c r="AF81" s="758"/>
      <c r="AG81" s="758"/>
      <c r="AH81" s="758"/>
      <c r="AI81" s="758"/>
      <c r="AJ81" s="724"/>
    </row>
    <row r="82" spans="1:36" s="720" customFormat="1" x14ac:dyDescent="0.25">
      <c r="AJ82" s="724"/>
    </row>
    <row r="83" spans="1:36" s="788" customFormat="1" x14ac:dyDescent="0.25">
      <c r="A83" s="787" t="s">
        <v>1109</v>
      </c>
      <c r="D83" s="789"/>
      <c r="E83" s="789"/>
      <c r="F83" s="789"/>
      <c r="G83" s="789"/>
      <c r="H83" s="790">
        <f t="shared" ref="H83:AI83" si="22">SUM(H80,H58,H34,H13)</f>
        <v>2211716.0161187868</v>
      </c>
      <c r="I83" s="790">
        <f t="shared" si="22"/>
        <v>2316238.5011634273</v>
      </c>
      <c r="J83" s="790">
        <f t="shared" si="22"/>
        <v>2328954.1481819167</v>
      </c>
      <c r="K83" s="790">
        <f t="shared" si="22"/>
        <v>2341821.7866096157</v>
      </c>
      <c r="L83" s="790">
        <f t="shared" si="22"/>
        <v>2354843.5347002805</v>
      </c>
      <c r="M83" s="790">
        <f t="shared" si="22"/>
        <v>2368021.5450844574</v>
      </c>
      <c r="N83" s="790">
        <f t="shared" si="22"/>
        <v>2381358.0054004951</v>
      </c>
      <c r="O83" s="790">
        <f t="shared" si="22"/>
        <v>2394855.1389381331</v>
      </c>
      <c r="P83" s="790">
        <f t="shared" si="22"/>
        <v>2408515.2052949034</v>
      </c>
      <c r="Q83" s="790">
        <f t="shared" si="22"/>
        <v>2422340.5010456247</v>
      </c>
      <c r="R83" s="790">
        <f t="shared" si="22"/>
        <v>2436333.3604252674</v>
      </c>
      <c r="S83" s="790">
        <f t="shared" si="22"/>
        <v>2450496.1560254502</v>
      </c>
      <c r="T83" s="790">
        <f t="shared" si="22"/>
        <v>2464831.2995048733</v>
      </c>
      <c r="U83" s="790">
        <f t="shared" si="22"/>
        <v>2479341.2423139676</v>
      </c>
      <c r="V83" s="790">
        <f t="shared" si="22"/>
        <v>2494028.4764340553</v>
      </c>
      <c r="W83" s="790">
        <f t="shared" si="22"/>
        <v>2508895.5351313362</v>
      </c>
      <c r="X83" s="790">
        <f t="shared" si="22"/>
        <v>2523944.9937259988</v>
      </c>
      <c r="Y83" s="790">
        <f t="shared" si="22"/>
        <v>2539179.4703767793</v>
      </c>
      <c r="Z83" s="790">
        <f t="shared" si="22"/>
        <v>2554601.6268812902</v>
      </c>
      <c r="AA83" s="790">
        <f t="shared" si="22"/>
        <v>2570214.1694924459</v>
      </c>
      <c r="AB83" s="790">
        <f t="shared" si="22"/>
        <v>2586019.8497513272</v>
      </c>
      <c r="AC83" s="790">
        <f t="shared" si="22"/>
        <v>2602021.4653368299</v>
      </c>
      <c r="AD83" s="790">
        <f t="shared" si="22"/>
        <v>2618221.8609324419</v>
      </c>
      <c r="AE83" s="790">
        <f t="shared" si="22"/>
        <v>2634623.9291105154</v>
      </c>
      <c r="AF83" s="790">
        <f t="shared" si="22"/>
        <v>2651230.6112344037</v>
      </c>
      <c r="AG83" s="790">
        <f t="shared" si="22"/>
        <v>2668044.8983788276</v>
      </c>
      <c r="AH83" s="790">
        <f t="shared" si="22"/>
        <v>2685069.8322688616</v>
      </c>
      <c r="AI83" s="790">
        <f t="shared" si="22"/>
        <v>2702308.5062379357</v>
      </c>
      <c r="AJ83" s="790">
        <f>SUM(AJ80,AJ58,AJ34,AJ13)</f>
        <v>69698071.666100234</v>
      </c>
    </row>
    <row r="84" spans="1:36" s="720" customFormat="1" x14ac:dyDescent="0.25">
      <c r="AJ84" s="724">
        <f>SUM(H83:AI83)</f>
        <v>69698071.666100249</v>
      </c>
    </row>
    <row r="85" spans="1:36" s="720" customFormat="1" x14ac:dyDescent="0.25">
      <c r="A85" s="720" t="s">
        <v>1110</v>
      </c>
      <c r="D85" s="765">
        <f>1*0.97</f>
        <v>0.97</v>
      </c>
      <c r="E85" s="766">
        <f t="shared" ref="E85:AI85" si="23">D85*0.97</f>
        <v>0.94089999999999996</v>
      </c>
      <c r="F85" s="766"/>
      <c r="G85" s="766">
        <f>E85*0.97</f>
        <v>0.91267299999999996</v>
      </c>
      <c r="H85" s="766">
        <f t="shared" si="23"/>
        <v>0.88529280999999993</v>
      </c>
      <c r="I85" s="766">
        <f t="shared" si="23"/>
        <v>0.8587340256999999</v>
      </c>
      <c r="J85" s="766">
        <f t="shared" si="23"/>
        <v>0.83297200492899992</v>
      </c>
      <c r="K85" s="766">
        <f t="shared" si="23"/>
        <v>0.80798284478112992</v>
      </c>
      <c r="L85" s="766">
        <f t="shared" si="23"/>
        <v>0.78374335943769602</v>
      </c>
      <c r="M85" s="766">
        <f t="shared" si="23"/>
        <v>0.76023105865456508</v>
      </c>
      <c r="N85" s="766">
        <f t="shared" si="23"/>
        <v>0.73742412689492809</v>
      </c>
      <c r="O85" s="766">
        <f t="shared" si="23"/>
        <v>0.71530140308808021</v>
      </c>
      <c r="P85" s="766">
        <f t="shared" si="23"/>
        <v>0.69384236099543783</v>
      </c>
      <c r="Q85" s="766">
        <f t="shared" si="23"/>
        <v>0.67302709016557472</v>
      </c>
      <c r="R85" s="766">
        <f t="shared" si="23"/>
        <v>0.65283627746060746</v>
      </c>
      <c r="S85" s="766">
        <f t="shared" si="23"/>
        <v>0.63325118913678924</v>
      </c>
      <c r="T85" s="766">
        <f t="shared" si="23"/>
        <v>0.61425365346268557</v>
      </c>
      <c r="U85" s="766">
        <f t="shared" si="23"/>
        <v>0.595826043858805</v>
      </c>
      <c r="V85" s="766">
        <f t="shared" si="23"/>
        <v>0.57795126254304086</v>
      </c>
      <c r="W85" s="766">
        <f t="shared" si="23"/>
        <v>0.56061272466674961</v>
      </c>
      <c r="X85" s="766">
        <f t="shared" si="23"/>
        <v>0.54379434292674711</v>
      </c>
      <c r="Y85" s="766">
        <f t="shared" si="23"/>
        <v>0.52748051263894469</v>
      </c>
      <c r="Z85" s="766">
        <f t="shared" si="23"/>
        <v>0.51165609725977634</v>
      </c>
      <c r="AA85" s="766">
        <f t="shared" si="23"/>
        <v>0.49630641434198303</v>
      </c>
      <c r="AB85" s="766">
        <f t="shared" si="23"/>
        <v>0.48141722191172354</v>
      </c>
      <c r="AC85" s="766">
        <f t="shared" si="23"/>
        <v>0.46697470525437179</v>
      </c>
      <c r="AD85" s="766">
        <f t="shared" si="23"/>
        <v>0.4529654640967406</v>
      </c>
      <c r="AE85" s="766">
        <f t="shared" si="23"/>
        <v>0.43937650017383839</v>
      </c>
      <c r="AF85" s="766">
        <f t="shared" si="23"/>
        <v>0.42619520516862325</v>
      </c>
      <c r="AG85" s="766">
        <f t="shared" si="23"/>
        <v>0.41340934901356452</v>
      </c>
      <c r="AH85" s="766">
        <f t="shared" si="23"/>
        <v>0.4010070685431576</v>
      </c>
      <c r="AI85" s="766">
        <f t="shared" si="23"/>
        <v>0.38897685648686287</v>
      </c>
      <c r="AJ85" s="724"/>
    </row>
    <row r="86" spans="1:36" s="720" customFormat="1" x14ac:dyDescent="0.25">
      <c r="A86" s="720" t="s">
        <v>1111</v>
      </c>
      <c r="D86" s="765">
        <f>1*0.93</f>
        <v>0.93</v>
      </c>
      <c r="E86" s="766">
        <f t="shared" ref="E86:AI86" si="24">D86*0.93</f>
        <v>0.86490000000000011</v>
      </c>
      <c r="F86" s="766"/>
      <c r="G86" s="766">
        <f>E86*0.93</f>
        <v>0.8043570000000001</v>
      </c>
      <c r="H86" s="766">
        <f t="shared" si="24"/>
        <v>0.7480520100000001</v>
      </c>
      <c r="I86" s="766">
        <f t="shared" si="24"/>
        <v>0.69568836930000011</v>
      </c>
      <c r="J86" s="766">
        <f t="shared" si="24"/>
        <v>0.64699018344900017</v>
      </c>
      <c r="K86" s="766">
        <f t="shared" si="24"/>
        <v>0.60170087060757016</v>
      </c>
      <c r="L86" s="766">
        <f t="shared" si="24"/>
        <v>0.55958180966504023</v>
      </c>
      <c r="M86" s="766">
        <f t="shared" si="24"/>
        <v>0.52041108298848748</v>
      </c>
      <c r="N86" s="766">
        <f t="shared" si="24"/>
        <v>0.48398230717929336</v>
      </c>
      <c r="O86" s="766">
        <f t="shared" si="24"/>
        <v>0.45010354567674282</v>
      </c>
      <c r="P86" s="766">
        <f t="shared" si="24"/>
        <v>0.41859629747937083</v>
      </c>
      <c r="Q86" s="766">
        <f t="shared" si="24"/>
        <v>0.38929455665581492</v>
      </c>
      <c r="R86" s="766">
        <f t="shared" si="24"/>
        <v>0.36204393768990789</v>
      </c>
      <c r="S86" s="766">
        <f t="shared" si="24"/>
        <v>0.33670086205161437</v>
      </c>
      <c r="T86" s="766">
        <f t="shared" si="24"/>
        <v>0.31313180170800137</v>
      </c>
      <c r="U86" s="766">
        <f t="shared" si="24"/>
        <v>0.29121257558844127</v>
      </c>
      <c r="V86" s="766">
        <f t="shared" si="24"/>
        <v>0.27082769529725037</v>
      </c>
      <c r="W86" s="766">
        <f t="shared" si="24"/>
        <v>0.25186975662644284</v>
      </c>
      <c r="X86" s="766">
        <f t="shared" si="24"/>
        <v>0.23423887366259186</v>
      </c>
      <c r="Y86" s="766">
        <f t="shared" si="24"/>
        <v>0.21784215250621045</v>
      </c>
      <c r="Z86" s="766">
        <f t="shared" si="24"/>
        <v>0.20259320183077573</v>
      </c>
      <c r="AA86" s="766">
        <f t="shared" si="24"/>
        <v>0.18841167770262143</v>
      </c>
      <c r="AB86" s="766">
        <f t="shared" si="24"/>
        <v>0.17522286026343795</v>
      </c>
      <c r="AC86" s="766">
        <f t="shared" si="24"/>
        <v>0.1629572600449973</v>
      </c>
      <c r="AD86" s="766">
        <f t="shared" si="24"/>
        <v>0.15155025184184751</v>
      </c>
      <c r="AE86" s="766">
        <f t="shared" si="24"/>
        <v>0.1409417342129182</v>
      </c>
      <c r="AF86" s="766">
        <f t="shared" si="24"/>
        <v>0.13107581281801392</v>
      </c>
      <c r="AG86" s="766">
        <f t="shared" si="24"/>
        <v>0.12190050592075295</v>
      </c>
      <c r="AH86" s="766">
        <f t="shared" si="24"/>
        <v>0.11336747050630025</v>
      </c>
      <c r="AI86" s="766">
        <f t="shared" si="24"/>
        <v>0.10543174757085924</v>
      </c>
      <c r="AJ86" s="724"/>
    </row>
    <row r="87" spans="1:36" s="720" customFormat="1" x14ac:dyDescent="0.25">
      <c r="AJ87" s="724"/>
    </row>
    <row r="88" spans="1:36" s="728" customFormat="1" x14ac:dyDescent="0.25">
      <c r="A88" s="728" t="s">
        <v>1112</v>
      </c>
      <c r="D88" s="729"/>
      <c r="E88" s="729"/>
      <c r="F88" s="729"/>
      <c r="G88" s="729"/>
      <c r="H88" s="729">
        <f>SUM(H89:H92)</f>
        <v>1964970.4125543679</v>
      </c>
      <c r="I88" s="729">
        <f>SUM(I89:I92)</f>
        <v>1996867.4272072255</v>
      </c>
      <c r="J88" s="729">
        <f>SUM(J89:J92)</f>
        <v>1948030.5630832566</v>
      </c>
      <c r="K88" s="729">
        <f t="shared" ref="K88:AI88" si="25">SUM(K89:K92)</f>
        <v>1900475.5349619682</v>
      </c>
      <c r="L88" s="729">
        <f t="shared" si="25"/>
        <v>1854167.9226878495</v>
      </c>
      <c r="M88" s="729">
        <f t="shared" si="25"/>
        <v>1809140.165914949</v>
      </c>
      <c r="N88" s="729">
        <f t="shared" si="25"/>
        <v>1765261.9349732455</v>
      </c>
      <c r="O88" s="729">
        <f t="shared" si="25"/>
        <v>1722567.8791522714</v>
      </c>
      <c r="P88" s="729">
        <f t="shared" si="25"/>
        <v>1680960.3150309972</v>
      </c>
      <c r="Q88" s="729">
        <f t="shared" si="25"/>
        <v>1640477.0474447366</v>
      </c>
      <c r="R88" s="729">
        <f t="shared" si="25"/>
        <v>1601020.6421061102</v>
      </c>
      <c r="S88" s="729">
        <f t="shared" si="25"/>
        <v>1562631.9990685382</v>
      </c>
      <c r="T88" s="729">
        <f t="shared" si="25"/>
        <v>1525213.8030577628</v>
      </c>
      <c r="U88" s="729">
        <f t="shared" si="25"/>
        <v>1488774.1138559338</v>
      </c>
      <c r="V88" s="729">
        <f t="shared" si="25"/>
        <v>1453323.2544326226</v>
      </c>
      <c r="W88" s="729">
        <f t="shared" si="25"/>
        <v>1418763.8531367914</v>
      </c>
      <c r="X88" s="729">
        <f t="shared" si="25"/>
        <v>1385144.3264222986</v>
      </c>
      <c r="Y88" s="729">
        <f t="shared" si="25"/>
        <v>1352367.1140263677</v>
      </c>
      <c r="Z88" s="729">
        <f t="shared" si="25"/>
        <v>1320483.566315467</v>
      </c>
      <c r="AA88" s="729">
        <f t="shared" si="25"/>
        <v>1289395.8175715047</v>
      </c>
      <c r="AB88" s="729">
        <f t="shared" si="25"/>
        <v>1259158.1191933991</v>
      </c>
      <c r="AC88" s="729">
        <f t="shared" si="25"/>
        <v>1229672.186247082</v>
      </c>
      <c r="AD88" s="729">
        <f t="shared" si="25"/>
        <v>1200955.5883177938</v>
      </c>
      <c r="AE88" s="729">
        <f t="shared" si="25"/>
        <v>1173028.1765777934</v>
      </c>
      <c r="AF88" s="729">
        <f t="shared" si="25"/>
        <v>1145790.829958102</v>
      </c>
      <c r="AG88" s="729">
        <f t="shared" si="25"/>
        <v>1119264.0661354579</v>
      </c>
      <c r="AH88" s="729">
        <f t="shared" si="25"/>
        <v>1093429.3752350789</v>
      </c>
      <c r="AI88" s="729">
        <f t="shared" si="25"/>
        <v>1068226.9720787462</v>
      </c>
      <c r="AJ88" s="724">
        <f>SUM(H88:AI88)</f>
        <v>41969563.006747738</v>
      </c>
    </row>
    <row r="89" spans="1:36" s="720" customFormat="1" x14ac:dyDescent="0.25">
      <c r="A89" s="767" t="s">
        <v>1113</v>
      </c>
      <c r="D89" s="726"/>
      <c r="E89" s="726"/>
      <c r="F89" s="726"/>
      <c r="G89" s="726"/>
      <c r="H89" s="726">
        <f>H$13*H$85</f>
        <v>42660.014563587662</v>
      </c>
      <c r="I89" s="726">
        <f t="shared" ref="I89:AI89" si="26">I$13*I$85</f>
        <v>41380.214126680032</v>
      </c>
      <c r="J89" s="726">
        <f t="shared" si="26"/>
        <v>40138.807702879632</v>
      </c>
      <c r="K89" s="726">
        <f t="shared" si="26"/>
        <v>38934.643471793242</v>
      </c>
      <c r="L89" s="726">
        <f t="shared" si="26"/>
        <v>37766.604167639445</v>
      </c>
      <c r="M89" s="726">
        <f t="shared" si="26"/>
        <v>36633.606042610256</v>
      </c>
      <c r="N89" s="726">
        <f t="shared" si="26"/>
        <v>35534.597861331946</v>
      </c>
      <c r="O89" s="726">
        <f t="shared" si="26"/>
        <v>34468.559925491987</v>
      </c>
      <c r="P89" s="726">
        <f t="shared" si="26"/>
        <v>33434.503127727228</v>
      </c>
      <c r="Q89" s="726">
        <f t="shared" si="26"/>
        <v>32431.468033895413</v>
      </c>
      <c r="R89" s="726">
        <f t="shared" si="26"/>
        <v>31458.523992878552</v>
      </c>
      <c r="S89" s="726">
        <f t="shared" si="26"/>
        <v>30514.768273092195</v>
      </c>
      <c r="T89" s="726">
        <f t="shared" si="26"/>
        <v>29599.325224899429</v>
      </c>
      <c r="U89" s="726">
        <f t="shared" si="26"/>
        <v>28711.345468152445</v>
      </c>
      <c r="V89" s="726">
        <f t="shared" si="26"/>
        <v>27850.005104107873</v>
      </c>
      <c r="W89" s="726">
        <f t="shared" si="26"/>
        <v>27014.504950984636</v>
      </c>
      <c r="X89" s="726">
        <f t="shared" si="26"/>
        <v>26204.069802455098</v>
      </c>
      <c r="Y89" s="726">
        <f t="shared" si="26"/>
        <v>25417.947708381442</v>
      </c>
      <c r="Z89" s="726">
        <f t="shared" si="26"/>
        <v>24655.409277129998</v>
      </c>
      <c r="AA89" s="726">
        <f t="shared" si="26"/>
        <v>23915.746998816099</v>
      </c>
      <c r="AB89" s="726">
        <f t="shared" si="26"/>
        <v>23198.274588851615</v>
      </c>
      <c r="AC89" s="726">
        <f t="shared" si="26"/>
        <v>22502.326351186064</v>
      </c>
      <c r="AD89" s="726">
        <f t="shared" si="26"/>
        <v>21827.256560650483</v>
      </c>
      <c r="AE89" s="726">
        <f t="shared" si="26"/>
        <v>21172.438863830968</v>
      </c>
      <c r="AF89" s="726">
        <f t="shared" si="26"/>
        <v>20537.265697916038</v>
      </c>
      <c r="AG89" s="726">
        <f t="shared" si="26"/>
        <v>19921.147726978557</v>
      </c>
      <c r="AH89" s="726">
        <f t="shared" si="26"/>
        <v>19323.513295169199</v>
      </c>
      <c r="AI89" s="726">
        <f t="shared" si="26"/>
        <v>18743.807896314123</v>
      </c>
      <c r="AJ89" s="724">
        <f>SUM(H89:AI89)</f>
        <v>815950.69680543186</v>
      </c>
    </row>
    <row r="90" spans="1:36" s="720" customFormat="1" x14ac:dyDescent="0.25">
      <c r="A90" s="767" t="s">
        <v>1114</v>
      </c>
      <c r="D90" s="726"/>
      <c r="E90" s="726"/>
      <c r="F90" s="726"/>
      <c r="G90" s="726"/>
      <c r="H90" s="726">
        <f>H$34*H$85</f>
        <v>987679.70958031062</v>
      </c>
      <c r="I90" s="726">
        <f t="shared" ref="I90:AI90" si="27">I$34*I$85</f>
        <v>1046830.4727749878</v>
      </c>
      <c r="J90" s="726">
        <f t="shared" si="27"/>
        <v>1025954.4439954682</v>
      </c>
      <c r="K90" s="726">
        <f t="shared" si="27"/>
        <v>1005510.6093396035</v>
      </c>
      <c r="L90" s="726">
        <f t="shared" si="27"/>
        <v>985489.81290321134</v>
      </c>
      <c r="M90" s="726">
        <f t="shared" si="27"/>
        <v>965883.09606246278</v>
      </c>
      <c r="N90" s="726">
        <f t="shared" si="27"/>
        <v>946681.69315968128</v>
      </c>
      <c r="O90" s="726">
        <f t="shared" si="27"/>
        <v>927877.02728485002</v>
      </c>
      <c r="P90" s="726">
        <f t="shared" si="27"/>
        <v>909460.70615065831</v>
      </c>
      <c r="Q90" s="726">
        <f t="shared" si="27"/>
        <v>891424.51805899793</v>
      </c>
      <c r="R90" s="726">
        <f t="shared" si="27"/>
        <v>873760.42795684573</v>
      </c>
      <c r="S90" s="726">
        <f t="shared" si="27"/>
        <v>856460.5735795208</v>
      </c>
      <c r="T90" s="726">
        <f t="shared" si="27"/>
        <v>839517.26167935948</v>
      </c>
      <c r="U90" s="726">
        <f t="shared" si="27"/>
        <v>822922.96433788526</v>
      </c>
      <c r="V90" s="726">
        <f t="shared" si="27"/>
        <v>806670.31535959709</v>
      </c>
      <c r="W90" s="726">
        <f t="shared" si="27"/>
        <v>790752.10674555018</v>
      </c>
      <c r="X90" s="726">
        <f t="shared" si="27"/>
        <v>775161.28524493123</v>
      </c>
      <c r="Y90" s="726">
        <f t="shared" si="27"/>
        <v>759890.94898288301</v>
      </c>
      <c r="Z90" s="726">
        <f t="shared" si="27"/>
        <v>744934.34416286845</v>
      </c>
      <c r="AA90" s="726">
        <f t="shared" si="27"/>
        <v>730284.8618418983</v>
      </c>
      <c r="AB90" s="726">
        <f t="shared" si="27"/>
        <v>715936.03477699531</v>
      </c>
      <c r="AC90" s="726">
        <f t="shared" si="27"/>
        <v>701881.5343412963</v>
      </c>
      <c r="AD90" s="726">
        <f t="shared" si="27"/>
        <v>688115.16750823066</v>
      </c>
      <c r="AE90" s="726">
        <f t="shared" si="27"/>
        <v>674630.87390225322</v>
      </c>
      <c r="AF90" s="726">
        <f t="shared" si="27"/>
        <v>661422.72291464359</v>
      </c>
      <c r="AG90" s="726">
        <f t="shared" si="27"/>
        <v>648484.91088291083</v>
      </c>
      <c r="AH90" s="726">
        <f t="shared" si="27"/>
        <v>635811.75833238405</v>
      </c>
      <c r="AI90" s="726">
        <f t="shared" si="27"/>
        <v>623397.70727860124</v>
      </c>
      <c r="AJ90" s="724">
        <f>SUM(H90:AI90)</f>
        <v>23042827.889138889</v>
      </c>
    </row>
    <row r="91" spans="1:36" s="720" customFormat="1" x14ac:dyDescent="0.25">
      <c r="A91" s="767" t="s">
        <v>1115</v>
      </c>
      <c r="D91" s="726"/>
      <c r="E91" s="726"/>
      <c r="F91" s="726"/>
      <c r="G91" s="726"/>
      <c r="H91" s="768">
        <f>H$58*H$85+H$64</f>
        <v>11315.330908891494</v>
      </c>
      <c r="I91" s="768">
        <f t="shared" ref="I91:AI91" si="28">I$58*I$85+I$64</f>
        <v>13040.843529026652</v>
      </c>
      <c r="J91" s="768">
        <f t="shared" si="28"/>
        <v>13189.891511673899</v>
      </c>
      <c r="K91" s="768">
        <f t="shared" si="28"/>
        <v>13345.28487353355</v>
      </c>
      <c r="L91" s="768">
        <f t="shared" si="28"/>
        <v>13507.058258272002</v>
      </c>
      <c r="M91" s="768">
        <f t="shared" si="28"/>
        <v>13741.149871911071</v>
      </c>
      <c r="N91" s="768">
        <f t="shared" si="28"/>
        <v>13949.799432406282</v>
      </c>
      <c r="O91" s="768">
        <f t="shared" si="28"/>
        <v>14199.322757698474</v>
      </c>
      <c r="P91" s="768">
        <f t="shared" si="28"/>
        <v>14422.825643907649</v>
      </c>
      <c r="Q91" s="768">
        <f t="shared" si="28"/>
        <v>14688.049646400419</v>
      </c>
      <c r="R91" s="768">
        <f t="shared" si="28"/>
        <v>14926.668802106306</v>
      </c>
      <c r="S91" s="768">
        <f t="shared" si="28"/>
        <v>15207.88650227369</v>
      </c>
      <c r="T91" s="768">
        <f t="shared" si="28"/>
        <v>15461.908561262022</v>
      </c>
      <c r="U91" s="768">
        <f t="shared" si="28"/>
        <v>15723.555685421321</v>
      </c>
      <c r="V91" s="768">
        <f t="shared" si="28"/>
        <v>16029.173055377214</v>
      </c>
      <c r="W91" s="768">
        <f t="shared" si="28"/>
        <v>16306.693354122366</v>
      </c>
      <c r="X91" s="768">
        <f t="shared" si="28"/>
        <v>16629.139731362149</v>
      </c>
      <c r="Y91" s="768">
        <f t="shared" si="28"/>
        <v>16922.880640859654</v>
      </c>
      <c r="Z91" s="768">
        <f t="shared" si="28"/>
        <v>17262.536282052402</v>
      </c>
      <c r="AA91" s="768">
        <f t="shared" si="28"/>
        <v>17572.870435176625</v>
      </c>
      <c r="AB91" s="768">
        <f t="shared" si="28"/>
        <v>17930.141680806893</v>
      </c>
      <c r="AC91" s="768">
        <f t="shared" si="28"/>
        <v>18257.467452256755</v>
      </c>
      <c r="AD91" s="768">
        <f t="shared" si="28"/>
        <v>18593.231889640007</v>
      </c>
      <c r="AE91" s="768">
        <f t="shared" si="28"/>
        <v>18977.529423214793</v>
      </c>
      <c r="AF91" s="768">
        <f t="shared" si="28"/>
        <v>19330.926988702719</v>
      </c>
      <c r="AG91" s="768">
        <f t="shared" si="28"/>
        <v>19693.090599434254</v>
      </c>
      <c r="AH91" s="768">
        <f t="shared" si="28"/>
        <v>20064.134189175267</v>
      </c>
      <c r="AI91" s="768">
        <f t="shared" si="28"/>
        <v>20402.386568031208</v>
      </c>
      <c r="AJ91" s="724">
        <f>SUM(H91:AI91)</f>
        <v>450691.7782749972</v>
      </c>
    </row>
    <row r="92" spans="1:36" s="720" customFormat="1" x14ac:dyDescent="0.25">
      <c r="A92" s="767" t="s">
        <v>1116</v>
      </c>
      <c r="D92" s="726"/>
      <c r="E92" s="726"/>
      <c r="F92" s="726"/>
      <c r="G92" s="726"/>
      <c r="H92" s="726">
        <f>H$80*H$85</f>
        <v>923315.35750157817</v>
      </c>
      <c r="I92" s="726">
        <f t="shared" ref="I92:AI92" si="29">I$80*I$85</f>
        <v>895615.89677653078</v>
      </c>
      <c r="J92" s="726">
        <f t="shared" si="29"/>
        <v>868747.41987323493</v>
      </c>
      <c r="K92" s="726">
        <f t="shared" si="29"/>
        <v>842684.99727703782</v>
      </c>
      <c r="L92" s="726">
        <f t="shared" si="29"/>
        <v>817404.44735872676</v>
      </c>
      <c r="M92" s="726">
        <f t="shared" si="29"/>
        <v>792882.31393796485</v>
      </c>
      <c r="N92" s="726">
        <f t="shared" si="29"/>
        <v>769095.84451982589</v>
      </c>
      <c r="O92" s="726">
        <f t="shared" si="29"/>
        <v>746022.96918423101</v>
      </c>
      <c r="P92" s="726">
        <f t="shared" si="29"/>
        <v>723642.28010870412</v>
      </c>
      <c r="Q92" s="726">
        <f t="shared" si="29"/>
        <v>701933.01170544303</v>
      </c>
      <c r="R92" s="726">
        <f t="shared" si="29"/>
        <v>680875.02135427971</v>
      </c>
      <c r="S92" s="726">
        <f t="shared" si="29"/>
        <v>660448.77071365132</v>
      </c>
      <c r="T92" s="726">
        <f t="shared" si="29"/>
        <v>640635.30759224179</v>
      </c>
      <c r="U92" s="726">
        <f t="shared" si="29"/>
        <v>621416.24836447462</v>
      </c>
      <c r="V92" s="726">
        <f t="shared" si="29"/>
        <v>602773.76091354038</v>
      </c>
      <c r="W92" s="726">
        <f t="shared" si="29"/>
        <v>584690.54808613413</v>
      </c>
      <c r="X92" s="726">
        <f t="shared" si="29"/>
        <v>567149.83164355007</v>
      </c>
      <c r="Y92" s="726">
        <f t="shared" si="29"/>
        <v>550135.3366942436</v>
      </c>
      <c r="Z92" s="726">
        <f t="shared" si="29"/>
        <v>533631.27659341623</v>
      </c>
      <c r="AA92" s="726">
        <f t="shared" si="29"/>
        <v>517622.33829561371</v>
      </c>
      <c r="AB92" s="726">
        <f t="shared" si="29"/>
        <v>502093.6681467453</v>
      </c>
      <c r="AC92" s="726">
        <f t="shared" si="29"/>
        <v>487030.85810234293</v>
      </c>
      <c r="AD92" s="726">
        <f t="shared" si="29"/>
        <v>472419.93235927261</v>
      </c>
      <c r="AE92" s="726">
        <f t="shared" si="29"/>
        <v>458247.33438849443</v>
      </c>
      <c r="AF92" s="726">
        <f t="shared" si="29"/>
        <v>444499.91435683961</v>
      </c>
      <c r="AG92" s="726">
        <f t="shared" si="29"/>
        <v>431164.91692613438</v>
      </c>
      <c r="AH92" s="726">
        <f t="shared" si="29"/>
        <v>418229.96941835037</v>
      </c>
      <c r="AI92" s="726">
        <f t="shared" si="29"/>
        <v>405683.07033579983</v>
      </c>
      <c r="AJ92" s="724">
        <f>SUM(H92:AI92)</f>
        <v>17660092.6425284</v>
      </c>
    </row>
    <row r="93" spans="1:36" s="720" customFormat="1" x14ac:dyDescent="0.25">
      <c r="A93" s="767"/>
      <c r="D93" s="726"/>
      <c r="E93" s="726"/>
      <c r="F93" s="726"/>
      <c r="G93" s="726"/>
      <c r="H93" s="726"/>
      <c r="I93" s="726"/>
      <c r="J93" s="726"/>
      <c r="K93" s="726"/>
      <c r="L93" s="726"/>
      <c r="M93" s="726"/>
      <c r="N93" s="726"/>
      <c r="O93" s="726"/>
      <c r="P93" s="726"/>
      <c r="Q93" s="726"/>
      <c r="R93" s="726"/>
      <c r="S93" s="726"/>
      <c r="T93" s="726"/>
      <c r="U93" s="726"/>
      <c r="V93" s="726"/>
      <c r="W93" s="726"/>
      <c r="X93" s="726"/>
      <c r="Y93" s="726"/>
      <c r="Z93" s="726"/>
      <c r="AA93" s="726"/>
      <c r="AB93" s="726"/>
      <c r="AC93" s="726"/>
      <c r="AD93" s="726"/>
      <c r="AE93" s="726"/>
      <c r="AF93" s="726"/>
      <c r="AG93" s="726"/>
      <c r="AH93" s="726"/>
      <c r="AI93" s="726"/>
      <c r="AJ93" s="724"/>
    </row>
    <row r="94" spans="1:36" s="728" customFormat="1" x14ac:dyDescent="0.25">
      <c r="A94" s="728" t="s">
        <v>1117</v>
      </c>
      <c r="D94" s="729"/>
      <c r="E94" s="729"/>
      <c r="F94" s="729"/>
      <c r="G94" s="729"/>
      <c r="H94" s="729">
        <f>SUM(H95:H98)</f>
        <v>1661432.7371294131</v>
      </c>
      <c r="I94" s="729">
        <f t="shared" ref="I94:AI94" si="30">SUM(I95:I98)</f>
        <v>1619214.8004060825</v>
      </c>
      <c r="J94" s="729">
        <f>SUM(J95:J98)</f>
        <v>1514887.4284609826</v>
      </c>
      <c r="K94" s="729">
        <f t="shared" si="30"/>
        <v>1417399.9136574836</v>
      </c>
      <c r="L94" s="729">
        <f t="shared" si="30"/>
        <v>1326302.5464773159</v>
      </c>
      <c r="M94" s="729">
        <f t="shared" si="30"/>
        <v>1241241.296596047</v>
      </c>
      <c r="N94" s="729">
        <f t="shared" si="30"/>
        <v>1161726.2286901497</v>
      </c>
      <c r="O94" s="729">
        <f t="shared" si="30"/>
        <v>1087457.4274953478</v>
      </c>
      <c r="P94" s="729">
        <f t="shared" si="30"/>
        <v>1018025.9858549831</v>
      </c>
      <c r="Q94" s="729">
        <f t="shared" si="30"/>
        <v>953180.24005976063</v>
      </c>
      <c r="R94" s="729">
        <f t="shared" si="30"/>
        <v>892553.56376663572</v>
      </c>
      <c r="S94" s="729">
        <f t="shared" si="30"/>
        <v>835936.56247822708</v>
      </c>
      <c r="T94" s="729">
        <f t="shared" si="30"/>
        <v>782999.23788795073</v>
      </c>
      <c r="U94" s="729">
        <f t="shared" si="30"/>
        <v>733533.37900892366</v>
      </c>
      <c r="V94" s="729">
        <f t="shared" si="30"/>
        <v>687348.33193761157</v>
      </c>
      <c r="W94" s="729">
        <f t="shared" si="30"/>
        <v>644159.99911726883</v>
      </c>
      <c r="X94" s="729">
        <f t="shared" si="30"/>
        <v>603843.3494925315</v>
      </c>
      <c r="Y94" s="729">
        <f t="shared" si="30"/>
        <v>566139.74673619703</v>
      </c>
      <c r="Z94" s="729">
        <f t="shared" si="30"/>
        <v>530950.99084390001</v>
      </c>
      <c r="AA94" s="729">
        <f t="shared" si="30"/>
        <v>498040.40274887264</v>
      </c>
      <c r="AB94" s="729">
        <f t="shared" si="30"/>
        <v>467333.42208899604</v>
      </c>
      <c r="AC94" s="729">
        <f t="shared" si="30"/>
        <v>438612.26797542593</v>
      </c>
      <c r="AD94" s="729">
        <f t="shared" si="30"/>
        <v>411783.69037444051</v>
      </c>
      <c r="AE94" s="729">
        <f t="shared" si="30"/>
        <v>386764.80089865671</v>
      </c>
      <c r="AF94" s="729">
        <f t="shared" si="30"/>
        <v>363361.26298927027</v>
      </c>
      <c r="AG94" s="729">
        <f t="shared" si="30"/>
        <v>341505.38448936795</v>
      </c>
      <c r="AH94" s="729">
        <f t="shared" si="30"/>
        <v>321096.9679803715</v>
      </c>
      <c r="AI94" s="729">
        <f t="shared" si="30"/>
        <v>302000.61235286779</v>
      </c>
      <c r="AJ94" s="724">
        <f>SUM(H94:AI94)</f>
        <v>22808832.577995084</v>
      </c>
    </row>
    <row r="95" spans="1:36" s="720" customFormat="1" x14ac:dyDescent="0.25">
      <c r="A95" s="767" t="s">
        <v>1113</v>
      </c>
      <c r="D95" s="726"/>
      <c r="E95" s="726"/>
      <c r="F95" s="726"/>
      <c r="G95" s="726"/>
      <c r="H95" s="726">
        <f t="shared" ref="H95:AI95" si="31">H$13*H$86</f>
        <v>36046.728585676676</v>
      </c>
      <c r="I95" s="726">
        <f t="shared" si="31"/>
        <v>33523.457584679309</v>
      </c>
      <c r="J95" s="726">
        <f t="shared" si="31"/>
        <v>31176.815553751763</v>
      </c>
      <c r="K95" s="726">
        <f t="shared" si="31"/>
        <v>28994.43846498914</v>
      </c>
      <c r="L95" s="726">
        <f t="shared" si="31"/>
        <v>26964.827772439898</v>
      </c>
      <c r="M95" s="726">
        <f t="shared" si="31"/>
        <v>25077.28982836911</v>
      </c>
      <c r="N95" s="726">
        <f t="shared" si="31"/>
        <v>23321.87954038327</v>
      </c>
      <c r="O95" s="726">
        <f t="shared" si="31"/>
        <v>21689.347972556443</v>
      </c>
      <c r="P95" s="726">
        <f t="shared" si="31"/>
        <v>20171.09361447749</v>
      </c>
      <c r="Q95" s="726">
        <f t="shared" si="31"/>
        <v>18759.117061464069</v>
      </c>
      <c r="R95" s="726">
        <f t="shared" si="31"/>
        <v>17445.978867161586</v>
      </c>
      <c r="S95" s="726">
        <f t="shared" si="31"/>
        <v>16224.760346460276</v>
      </c>
      <c r="T95" s="726">
        <f t="shared" si="31"/>
        <v>15089.027122208056</v>
      </c>
      <c r="U95" s="726">
        <f t="shared" si="31"/>
        <v>14032.795223653493</v>
      </c>
      <c r="V95" s="726">
        <f t="shared" si="31"/>
        <v>13050.499557997748</v>
      </c>
      <c r="W95" s="726">
        <f t="shared" si="31"/>
        <v>12136.964588937904</v>
      </c>
      <c r="X95" s="726">
        <f t="shared" si="31"/>
        <v>11287.377067712252</v>
      </c>
      <c r="Y95" s="726">
        <f t="shared" si="31"/>
        <v>10497.260672972396</v>
      </c>
      <c r="Z95" s="726">
        <f t="shared" si="31"/>
        <v>9762.4524258643287</v>
      </c>
      <c r="AA95" s="726">
        <f t="shared" si="31"/>
        <v>9079.0807560538251</v>
      </c>
      <c r="AB95" s="726">
        <f t="shared" si="31"/>
        <v>8443.5451031300581</v>
      </c>
      <c r="AC95" s="726">
        <f t="shared" si="31"/>
        <v>7852.4969459109552</v>
      </c>
      <c r="AD95" s="726">
        <f t="shared" si="31"/>
        <v>7302.8221596971889</v>
      </c>
      <c r="AE95" s="726">
        <f t="shared" si="31"/>
        <v>6791.6246085183866</v>
      </c>
      <c r="AF95" s="726">
        <f t="shared" si="31"/>
        <v>6316.2108859220998</v>
      </c>
      <c r="AG95" s="726">
        <f t="shared" si="31"/>
        <v>5874.0761239075528</v>
      </c>
      <c r="AH95" s="726">
        <f t="shared" si="31"/>
        <v>5462.8907952340242</v>
      </c>
      <c r="AI95" s="726">
        <f t="shared" si="31"/>
        <v>5080.4884395676427</v>
      </c>
      <c r="AJ95" s="724">
        <f>SUM(H95:AI95)</f>
        <v>447455.34766969702</v>
      </c>
    </row>
    <row r="96" spans="1:36" x14ac:dyDescent="0.25">
      <c r="A96" s="767" t="s">
        <v>1114</v>
      </c>
      <c r="D96" s="768"/>
      <c r="E96" s="768"/>
      <c r="F96" s="768"/>
      <c r="G96" s="768"/>
      <c r="H96" s="726">
        <f t="shared" ref="H96:AI96" si="32">H$34*H$86</f>
        <v>834566.57914997381</v>
      </c>
      <c r="I96" s="726">
        <f t="shared" si="32"/>
        <v>848071.41995419306</v>
      </c>
      <c r="J96" s="726">
        <f t="shared" si="32"/>
        <v>796884.46910952765</v>
      </c>
      <c r="K96" s="726">
        <f t="shared" si="32"/>
        <v>748798.83026313188</v>
      </c>
      <c r="L96" s="726">
        <f t="shared" si="32"/>
        <v>703625.95902119356</v>
      </c>
      <c r="M96" s="726">
        <f t="shared" si="32"/>
        <v>661188.80877048883</v>
      </c>
      <c r="N96" s="726">
        <f t="shared" si="32"/>
        <v>621321.12757019384</v>
      </c>
      <c r="O96" s="726">
        <f t="shared" si="32"/>
        <v>583866.79814953438</v>
      </c>
      <c r="P96" s="726">
        <f t="shared" si="32"/>
        <v>548679.21836231439</v>
      </c>
      <c r="Q96" s="726">
        <f t="shared" si="32"/>
        <v>515620.71961253049</v>
      </c>
      <c r="R96" s="726">
        <f t="shared" si="32"/>
        <v>484562.02091833606</v>
      </c>
      <c r="S96" s="726">
        <f t="shared" si="32"/>
        <v>455381.71642525477</v>
      </c>
      <c r="T96" s="726">
        <f t="shared" si="32"/>
        <v>427965.79431431059</v>
      </c>
      <c r="U96" s="726">
        <f t="shared" si="32"/>
        <v>402207.18517718941</v>
      </c>
      <c r="V96" s="726">
        <f t="shared" si="32"/>
        <v>378005.33804920298</v>
      </c>
      <c r="W96" s="726">
        <f t="shared" si="32"/>
        <v>355265.82240216032</v>
      </c>
      <c r="X96" s="726">
        <f t="shared" si="32"/>
        <v>333899.95450371742</v>
      </c>
      <c r="Y96" s="726">
        <f t="shared" si="32"/>
        <v>313824.44664780662</v>
      </c>
      <c r="Z96" s="726">
        <f t="shared" si="32"/>
        <v>294961.07785272936</v>
      </c>
      <c r="AA96" s="726">
        <f t="shared" si="32"/>
        <v>277236.38470980758</v>
      </c>
      <c r="AB96" s="726">
        <f t="shared" si="32"/>
        <v>260581.37114648655</v>
      </c>
      <c r="AC96" s="726">
        <f t="shared" si="32"/>
        <v>244931.23594378144</v>
      </c>
      <c r="AD96" s="726">
        <f t="shared" si="32"/>
        <v>230225.11691927869</v>
      </c>
      <c r="AE96" s="726">
        <f t="shared" si="32"/>
        <v>216405.85075383063</v>
      </c>
      <c r="AF96" s="726">
        <f t="shared" si="32"/>
        <v>203419.74750288337</v>
      </c>
      <c r="AG96" s="726">
        <f t="shared" si="32"/>
        <v>191216.37889231057</v>
      </c>
      <c r="AH96" s="726">
        <f t="shared" si="32"/>
        <v>179748.37955393284</v>
      </c>
      <c r="AI96" s="726">
        <f t="shared" si="32"/>
        <v>168971.26040780189</v>
      </c>
      <c r="AJ96" s="724">
        <f>SUM(H96:AI96)</f>
        <v>12281433.012083903</v>
      </c>
    </row>
    <row r="97" spans="1:36" x14ac:dyDescent="0.25">
      <c r="A97" s="767" t="s">
        <v>1115</v>
      </c>
      <c r="B97" s="720"/>
      <c r="D97" s="768"/>
      <c r="E97" s="768"/>
      <c r="F97" s="768"/>
      <c r="G97" s="768"/>
      <c r="H97" s="768">
        <f t="shared" ref="H97:AI97" si="33">H$58*H$86+H$64</f>
        <v>10639.24353760017</v>
      </c>
      <c r="I97" s="768">
        <f t="shared" si="33"/>
        <v>12052.35002097916</v>
      </c>
      <c r="J97" s="768">
        <f t="shared" si="33"/>
        <v>12048.30105070814</v>
      </c>
      <c r="K97" s="768">
        <f t="shared" si="33"/>
        <v>12063.251174657427</v>
      </c>
      <c r="L97" s="768">
        <f t="shared" si="33"/>
        <v>12096.40349180637</v>
      </c>
      <c r="M97" s="768">
        <f t="shared" si="33"/>
        <v>12212.916738744207</v>
      </c>
      <c r="N97" s="768">
        <f t="shared" si="33"/>
        <v>12314.300009218987</v>
      </c>
      <c r="O97" s="768">
        <f t="shared" si="33"/>
        <v>12466.184312828249</v>
      </c>
      <c r="P97" s="768">
        <f t="shared" si="33"/>
        <v>12601.03361199247</v>
      </c>
      <c r="Q97" s="768">
        <f t="shared" si="33"/>
        <v>12785.987938201224</v>
      </c>
      <c r="R97" s="768">
        <f t="shared" si="33"/>
        <v>12952.157614902695</v>
      </c>
      <c r="S97" s="768">
        <f t="shared" si="33"/>
        <v>13168.217785913095</v>
      </c>
      <c r="T97" s="768">
        <f t="shared" si="33"/>
        <v>13363.879285275059</v>
      </c>
      <c r="U97" s="768">
        <f t="shared" si="33"/>
        <v>13573.499043554662</v>
      </c>
      <c r="V97" s="768">
        <f t="shared" si="33"/>
        <v>13832.987735401623</v>
      </c>
      <c r="W97" s="768">
        <f t="shared" si="33"/>
        <v>14069.87099281203</v>
      </c>
      <c r="X97" s="768">
        <f t="shared" si="33"/>
        <v>14356.790667078376</v>
      </c>
      <c r="Y97" s="768">
        <f t="shared" si="33"/>
        <v>14619.75806917618</v>
      </c>
      <c r="Z97" s="768">
        <f t="shared" si="33"/>
        <v>14933.058913301396</v>
      </c>
      <c r="AA97" s="768">
        <f t="shared" si="33"/>
        <v>15221.143746646629</v>
      </c>
      <c r="AB97" s="768">
        <f t="shared" si="33"/>
        <v>15559.977850560384</v>
      </c>
      <c r="AC97" s="768">
        <f t="shared" si="33"/>
        <v>15872.404056131829</v>
      </c>
      <c r="AD97" s="768">
        <f t="shared" si="33"/>
        <v>16196.549437934949</v>
      </c>
      <c r="AE97" s="768">
        <f t="shared" si="33"/>
        <v>16572.267808805111</v>
      </c>
      <c r="AF97" s="768">
        <f t="shared" si="33"/>
        <v>16919.900913887337</v>
      </c>
      <c r="AG97" s="768">
        <f t="shared" si="33"/>
        <v>17278.904044632785</v>
      </c>
      <c r="AH97" s="768">
        <f t="shared" si="33"/>
        <v>17649.193982683832</v>
      </c>
      <c r="AI97" s="768">
        <f t="shared" si="33"/>
        <v>17988.91511237387</v>
      </c>
      <c r="AJ97" s="724">
        <f>SUM(H97:AI97)</f>
        <v>395409.44894780824</v>
      </c>
    </row>
    <row r="98" spans="1:36" x14ac:dyDescent="0.25">
      <c r="A98" s="767" t="s">
        <v>1116</v>
      </c>
      <c r="B98" s="720"/>
      <c r="D98" s="768"/>
      <c r="E98" s="768"/>
      <c r="F98" s="768"/>
      <c r="G98" s="768"/>
      <c r="H98" s="726">
        <f>H$80*H$86</f>
        <v>780180.18585616245</v>
      </c>
      <c r="I98" s="726">
        <f t="shared" ref="I98:AI98" si="34">I$80*I$86</f>
        <v>725567.57284623105</v>
      </c>
      <c r="J98" s="726">
        <f t="shared" si="34"/>
        <v>674777.84274699492</v>
      </c>
      <c r="K98" s="726">
        <f t="shared" si="34"/>
        <v>627543.39375470532</v>
      </c>
      <c r="L98" s="726">
        <f t="shared" si="34"/>
        <v>583615.356191876</v>
      </c>
      <c r="M98" s="726">
        <f t="shared" si="34"/>
        <v>542762.28125844465</v>
      </c>
      <c r="N98" s="726">
        <f t="shared" si="34"/>
        <v>504768.92157035356</v>
      </c>
      <c r="O98" s="726">
        <f t="shared" si="34"/>
        <v>469435.09706042882</v>
      </c>
      <c r="P98" s="726">
        <f t="shared" si="34"/>
        <v>436574.64026619878</v>
      </c>
      <c r="Q98" s="726">
        <f t="shared" si="34"/>
        <v>406014.41544756491</v>
      </c>
      <c r="R98" s="726">
        <f t="shared" si="34"/>
        <v>377593.4063662354</v>
      </c>
      <c r="S98" s="726">
        <f t="shared" si="34"/>
        <v>351161.86792059895</v>
      </c>
      <c r="T98" s="726">
        <f t="shared" si="34"/>
        <v>326580.53716615704</v>
      </c>
      <c r="U98" s="726">
        <f t="shared" si="34"/>
        <v>303719.89956452604</v>
      </c>
      <c r="V98" s="726">
        <f t="shared" si="34"/>
        <v>282459.50659500918</v>
      </c>
      <c r="W98" s="726">
        <f t="shared" si="34"/>
        <v>262687.34113335854</v>
      </c>
      <c r="X98" s="726">
        <f t="shared" si="34"/>
        <v>244299.22725402348</v>
      </c>
      <c r="Y98" s="726">
        <f t="shared" si="34"/>
        <v>227198.28134624186</v>
      </c>
      <c r="Z98" s="726">
        <f t="shared" si="34"/>
        <v>211294.40165200495</v>
      </c>
      <c r="AA98" s="726">
        <f t="shared" si="34"/>
        <v>196503.7935363646</v>
      </c>
      <c r="AB98" s="726">
        <f t="shared" si="34"/>
        <v>182748.52798881909</v>
      </c>
      <c r="AC98" s="726">
        <f t="shared" si="34"/>
        <v>169956.13102960176</v>
      </c>
      <c r="AD98" s="726">
        <f t="shared" si="34"/>
        <v>158059.20185752967</v>
      </c>
      <c r="AE98" s="726">
        <f t="shared" si="34"/>
        <v>146995.0577275026</v>
      </c>
      <c r="AF98" s="726">
        <f t="shared" si="34"/>
        <v>136705.40368657743</v>
      </c>
      <c r="AG98" s="726">
        <f t="shared" si="34"/>
        <v>127136.02542851701</v>
      </c>
      <c r="AH98" s="726">
        <f t="shared" si="34"/>
        <v>118236.50364852081</v>
      </c>
      <c r="AI98" s="726">
        <f t="shared" si="34"/>
        <v>109959.94839312437</v>
      </c>
      <c r="AJ98" s="724">
        <f>SUM(H98:AI98)</f>
        <v>9684534.7692936752</v>
      </c>
    </row>
    <row r="99" spans="1:36" x14ac:dyDescent="0.25">
      <c r="B99" s="720"/>
      <c r="AD99" s="769"/>
      <c r="AE99" s="769"/>
      <c r="AF99" s="769"/>
      <c r="AG99" s="769"/>
      <c r="AH99" s="769"/>
      <c r="AI99" s="769"/>
    </row>
    <row r="100" spans="1:36" x14ac:dyDescent="0.25">
      <c r="A100" s="779" t="s">
        <v>1118</v>
      </c>
      <c r="B100" s="720"/>
    </row>
    <row r="101" spans="1:36" x14ac:dyDescent="0.25">
      <c r="A101" s="770"/>
      <c r="B101" s="720"/>
    </row>
    <row r="102" spans="1:36" s="773" customFormat="1" x14ac:dyDescent="0.25">
      <c r="A102" s="771" t="s">
        <v>1119</v>
      </c>
      <c r="B102" s="772">
        <v>40775144</v>
      </c>
      <c r="C102" s="773" t="s">
        <v>1120</v>
      </c>
      <c r="D102" s="742"/>
      <c r="AJ102" s="774"/>
    </row>
    <row r="103" spans="1:36" s="775" customFormat="1" x14ac:dyDescent="0.25">
      <c r="A103" s="775" t="s">
        <v>1121</v>
      </c>
      <c r="B103" s="742"/>
      <c r="C103" s="742"/>
      <c r="D103" s="746">
        <f>1172019+3600000+3000000+1903125</f>
        <v>9675144</v>
      </c>
      <c r="E103" s="776"/>
      <c r="F103" s="776"/>
      <c r="G103" s="776"/>
      <c r="H103" s="776"/>
      <c r="I103" s="776"/>
      <c r="J103" s="776"/>
      <c r="K103" s="776"/>
      <c r="L103" s="776"/>
      <c r="M103" s="776"/>
      <c r="N103" s="776"/>
      <c r="O103" s="776"/>
      <c r="P103" s="776"/>
      <c r="Q103" s="776"/>
      <c r="R103" s="776"/>
      <c r="S103" s="776"/>
      <c r="T103" s="776"/>
      <c r="U103" s="776"/>
      <c r="V103" s="776"/>
      <c r="W103" s="776"/>
      <c r="X103" s="776"/>
      <c r="Y103" s="776"/>
      <c r="Z103" s="776"/>
      <c r="AA103" s="776"/>
      <c r="AB103" s="776"/>
      <c r="AC103" s="776"/>
      <c r="AD103" s="776"/>
      <c r="AE103" s="776"/>
      <c r="AF103" s="776"/>
      <c r="AG103" s="776"/>
      <c r="AH103" s="776"/>
      <c r="AI103" s="776"/>
      <c r="AJ103" s="772">
        <f>SUM(D103:AI103)</f>
        <v>9675144</v>
      </c>
    </row>
    <row r="104" spans="1:36" s="775" customFormat="1" x14ac:dyDescent="0.25">
      <c r="A104" s="775" t="s">
        <v>1122</v>
      </c>
      <c r="B104" s="777"/>
      <c r="G104" s="778">
        <f>B102-D103</f>
        <v>31100000</v>
      </c>
      <c r="H104" s="776"/>
      <c r="I104" s="776"/>
      <c r="J104" s="776"/>
      <c r="K104" s="776"/>
      <c r="L104" s="776"/>
      <c r="M104" s="776"/>
      <c r="N104" s="776"/>
      <c r="O104" s="776"/>
      <c r="P104" s="776"/>
      <c r="Q104" s="776"/>
      <c r="R104" s="776"/>
      <c r="S104" s="776"/>
      <c r="T104" s="776"/>
      <c r="U104" s="776"/>
      <c r="V104" s="776"/>
      <c r="W104" s="776"/>
      <c r="X104" s="776"/>
      <c r="Y104" s="776"/>
      <c r="Z104" s="776"/>
      <c r="AA104" s="776"/>
      <c r="AB104" s="776"/>
      <c r="AC104" s="776"/>
      <c r="AD104" s="776"/>
      <c r="AE104" s="776"/>
      <c r="AF104" s="776"/>
      <c r="AG104" s="776"/>
      <c r="AH104" s="776"/>
      <c r="AI104" s="776"/>
      <c r="AJ104" s="772">
        <f>SUM(D104:AI104)</f>
        <v>31100000</v>
      </c>
    </row>
    <row r="105" spans="1:36" s="742" customFormat="1" x14ac:dyDescent="0.25">
      <c r="D105" s="741"/>
      <c r="E105" s="741"/>
      <c r="F105" s="741"/>
      <c r="G105" s="741"/>
      <c r="H105" s="741"/>
      <c r="I105" s="741"/>
      <c r="J105" s="741"/>
      <c r="K105" s="741"/>
      <c r="L105" s="741"/>
      <c r="M105" s="741"/>
      <c r="N105" s="741"/>
      <c r="O105" s="741"/>
      <c r="P105" s="741"/>
      <c r="Q105" s="741"/>
      <c r="R105" s="741"/>
      <c r="S105" s="741"/>
      <c r="T105" s="741"/>
      <c r="U105" s="741"/>
      <c r="V105" s="741"/>
      <c r="W105" s="741"/>
      <c r="X105" s="741"/>
      <c r="Y105" s="741"/>
      <c r="Z105" s="741"/>
      <c r="AA105" s="741"/>
      <c r="AB105" s="741"/>
      <c r="AC105" s="741"/>
      <c r="AD105" s="741"/>
      <c r="AE105" s="741"/>
      <c r="AF105" s="741"/>
      <c r="AG105" s="741"/>
      <c r="AH105" s="741"/>
      <c r="AI105" s="741"/>
      <c r="AJ105" s="772"/>
    </row>
    <row r="106" spans="1:36" s="775" customFormat="1" x14ac:dyDescent="0.25">
      <c r="A106" s="775" t="s">
        <v>1123</v>
      </c>
      <c r="B106" s="778"/>
      <c r="D106" s="778"/>
      <c r="E106" s="778"/>
      <c r="F106" s="778"/>
      <c r="G106" s="778"/>
      <c r="H106" s="778"/>
      <c r="I106" s="778"/>
      <c r="J106" s="778"/>
      <c r="K106" s="778"/>
      <c r="L106" s="778"/>
      <c r="M106" s="778"/>
      <c r="N106" s="778"/>
      <c r="O106" s="778"/>
      <c r="P106" s="778"/>
      <c r="Q106" s="778"/>
      <c r="R106" s="778"/>
      <c r="S106" s="778"/>
      <c r="T106" s="778"/>
      <c r="U106" s="778"/>
      <c r="V106" s="778"/>
      <c r="W106" s="778"/>
      <c r="X106" s="778"/>
      <c r="Y106" s="778"/>
      <c r="Z106" s="778"/>
      <c r="AA106" s="778"/>
      <c r="AB106" s="778"/>
      <c r="AC106" s="778"/>
      <c r="AD106" s="778"/>
      <c r="AE106" s="778"/>
      <c r="AF106" s="778"/>
      <c r="AG106" s="778"/>
      <c r="AH106" s="778"/>
      <c r="AI106" s="778"/>
      <c r="AJ106" s="772"/>
    </row>
    <row r="107" spans="1:36" s="775" customFormat="1" x14ac:dyDescent="0.25">
      <c r="A107" s="775" t="s">
        <v>1124</v>
      </c>
      <c r="B107" s="778">
        <v>5100670</v>
      </c>
      <c r="E107" s="778"/>
      <c r="F107" s="778"/>
      <c r="G107" s="772">
        <f>B107</f>
        <v>5100670</v>
      </c>
      <c r="I107" s="778"/>
      <c r="J107" s="778"/>
      <c r="K107" s="778"/>
      <c r="L107" s="778"/>
      <c r="M107" s="778"/>
      <c r="N107" s="778"/>
      <c r="O107" s="778"/>
      <c r="P107" s="778"/>
      <c r="Q107" s="778"/>
      <c r="R107" s="778"/>
      <c r="S107" s="778"/>
      <c r="T107" s="778"/>
      <c r="U107" s="778"/>
      <c r="V107" s="778"/>
      <c r="W107" s="778"/>
      <c r="X107" s="778"/>
      <c r="Y107" s="778"/>
      <c r="Z107" s="778"/>
      <c r="AA107" s="778"/>
      <c r="AB107" s="778"/>
      <c r="AC107" s="778"/>
      <c r="AD107" s="778"/>
      <c r="AE107" s="778"/>
      <c r="AF107" s="778"/>
      <c r="AG107" s="778"/>
      <c r="AH107" s="778"/>
      <c r="AI107" s="778"/>
      <c r="AJ107" s="772">
        <f>SUM(D107:AI107)</f>
        <v>5100670</v>
      </c>
    </row>
    <row r="109" spans="1:36" s="780" customFormat="1" x14ac:dyDescent="0.25">
      <c r="A109" s="779" t="s">
        <v>1125</v>
      </c>
      <c r="D109" s="781">
        <f>SUM(D103:D107)</f>
        <v>9675144</v>
      </c>
      <c r="E109" s="781">
        <f t="shared" ref="E109:AI109" si="35">SUM(E103:E107)</f>
        <v>0</v>
      </c>
      <c r="F109" s="781"/>
      <c r="G109" s="781">
        <f t="shared" si="35"/>
        <v>36200670</v>
      </c>
      <c r="H109" s="781">
        <f t="shared" si="35"/>
        <v>0</v>
      </c>
      <c r="I109" s="781">
        <f t="shared" si="35"/>
        <v>0</v>
      </c>
      <c r="J109" s="781">
        <f t="shared" si="35"/>
        <v>0</v>
      </c>
      <c r="K109" s="781">
        <f t="shared" si="35"/>
        <v>0</v>
      </c>
      <c r="L109" s="781">
        <f t="shared" si="35"/>
        <v>0</v>
      </c>
      <c r="M109" s="781">
        <f t="shared" si="35"/>
        <v>0</v>
      </c>
      <c r="N109" s="781">
        <f t="shared" si="35"/>
        <v>0</v>
      </c>
      <c r="O109" s="781">
        <f t="shared" si="35"/>
        <v>0</v>
      </c>
      <c r="P109" s="781">
        <f t="shared" si="35"/>
        <v>0</v>
      </c>
      <c r="Q109" s="781">
        <f t="shared" si="35"/>
        <v>0</v>
      </c>
      <c r="R109" s="781">
        <f t="shared" si="35"/>
        <v>0</v>
      </c>
      <c r="S109" s="781">
        <f t="shared" si="35"/>
        <v>0</v>
      </c>
      <c r="T109" s="781">
        <f t="shared" si="35"/>
        <v>0</v>
      </c>
      <c r="U109" s="781">
        <f t="shared" si="35"/>
        <v>0</v>
      </c>
      <c r="V109" s="781">
        <f t="shared" si="35"/>
        <v>0</v>
      </c>
      <c r="W109" s="781">
        <f t="shared" si="35"/>
        <v>0</v>
      </c>
      <c r="X109" s="781">
        <f t="shared" si="35"/>
        <v>0</v>
      </c>
      <c r="Y109" s="781">
        <f t="shared" si="35"/>
        <v>0</v>
      </c>
      <c r="Z109" s="781">
        <f t="shared" si="35"/>
        <v>0</v>
      </c>
      <c r="AA109" s="781">
        <f t="shared" si="35"/>
        <v>0</v>
      </c>
      <c r="AB109" s="781">
        <f t="shared" si="35"/>
        <v>0</v>
      </c>
      <c r="AC109" s="781">
        <f t="shared" si="35"/>
        <v>0</v>
      </c>
      <c r="AD109" s="781">
        <f t="shared" si="35"/>
        <v>0</v>
      </c>
      <c r="AE109" s="781">
        <f t="shared" si="35"/>
        <v>0</v>
      </c>
      <c r="AF109" s="781">
        <f t="shared" si="35"/>
        <v>0</v>
      </c>
      <c r="AG109" s="781">
        <f t="shared" si="35"/>
        <v>0</v>
      </c>
      <c r="AH109" s="781">
        <f t="shared" si="35"/>
        <v>0</v>
      </c>
      <c r="AI109" s="781">
        <f t="shared" si="35"/>
        <v>0</v>
      </c>
      <c r="AJ109" s="782">
        <f>SUM(D109:AI109)</f>
        <v>45875814</v>
      </c>
    </row>
    <row r="110" spans="1:36" s="720" customFormat="1" x14ac:dyDescent="0.25">
      <c r="D110" s="733"/>
      <c r="E110" s="733"/>
      <c r="F110" s="733"/>
      <c r="G110" s="733"/>
      <c r="H110" s="733"/>
      <c r="I110" s="733"/>
      <c r="J110" s="733"/>
      <c r="K110" s="733"/>
      <c r="L110" s="733"/>
      <c r="M110" s="733"/>
      <c r="N110" s="733"/>
      <c r="O110" s="733"/>
      <c r="P110" s="733"/>
      <c r="Q110" s="733"/>
      <c r="R110" s="733"/>
      <c r="S110" s="733"/>
      <c r="T110" s="733"/>
      <c r="U110" s="733"/>
      <c r="V110" s="733"/>
      <c r="W110" s="733"/>
      <c r="X110" s="733"/>
      <c r="Y110" s="733"/>
      <c r="Z110" s="733"/>
      <c r="AA110" s="733"/>
      <c r="AB110" s="733"/>
      <c r="AC110" s="733"/>
      <c r="AD110" s="733"/>
      <c r="AE110" s="733"/>
      <c r="AF110" s="733"/>
      <c r="AG110" s="733"/>
      <c r="AH110" s="733"/>
      <c r="AI110" s="733"/>
      <c r="AJ110" s="724"/>
    </row>
    <row r="111" spans="1:36" s="720" customFormat="1" x14ac:dyDescent="0.25">
      <c r="A111" s="720" t="s">
        <v>1110</v>
      </c>
      <c r="D111" s="765">
        <f>1*0.97</f>
        <v>0.97</v>
      </c>
      <c r="E111" s="766">
        <f t="shared" ref="E111:AI111" si="36">D111*0.97</f>
        <v>0.94089999999999996</v>
      </c>
      <c r="F111" s="766"/>
      <c r="G111" s="766">
        <f>E111*0.97</f>
        <v>0.91267299999999996</v>
      </c>
      <c r="H111" s="766">
        <f t="shared" si="36"/>
        <v>0.88529280999999993</v>
      </c>
      <c r="I111" s="766">
        <f t="shared" si="36"/>
        <v>0.8587340256999999</v>
      </c>
      <c r="J111" s="766">
        <f t="shared" si="36"/>
        <v>0.83297200492899992</v>
      </c>
      <c r="K111" s="766">
        <f t="shared" si="36"/>
        <v>0.80798284478112992</v>
      </c>
      <c r="L111" s="766">
        <f t="shared" si="36"/>
        <v>0.78374335943769602</v>
      </c>
      <c r="M111" s="766">
        <f t="shared" si="36"/>
        <v>0.76023105865456508</v>
      </c>
      <c r="N111" s="766">
        <f t="shared" si="36"/>
        <v>0.73742412689492809</v>
      </c>
      <c r="O111" s="766">
        <f t="shared" si="36"/>
        <v>0.71530140308808021</v>
      </c>
      <c r="P111" s="766">
        <f t="shared" si="36"/>
        <v>0.69384236099543783</v>
      </c>
      <c r="Q111" s="766">
        <f t="shared" si="36"/>
        <v>0.67302709016557472</v>
      </c>
      <c r="R111" s="766">
        <f t="shared" si="36"/>
        <v>0.65283627746060746</v>
      </c>
      <c r="S111" s="766">
        <f t="shared" si="36"/>
        <v>0.63325118913678924</v>
      </c>
      <c r="T111" s="766">
        <f t="shared" si="36"/>
        <v>0.61425365346268557</v>
      </c>
      <c r="U111" s="766">
        <f t="shared" si="36"/>
        <v>0.595826043858805</v>
      </c>
      <c r="V111" s="766">
        <f t="shared" si="36"/>
        <v>0.57795126254304086</v>
      </c>
      <c r="W111" s="766">
        <f t="shared" si="36"/>
        <v>0.56061272466674961</v>
      </c>
      <c r="X111" s="766">
        <f t="shared" si="36"/>
        <v>0.54379434292674711</v>
      </c>
      <c r="Y111" s="766">
        <f t="shared" si="36"/>
        <v>0.52748051263894469</v>
      </c>
      <c r="Z111" s="766">
        <f t="shared" si="36"/>
        <v>0.51165609725977634</v>
      </c>
      <c r="AA111" s="766">
        <f t="shared" si="36"/>
        <v>0.49630641434198303</v>
      </c>
      <c r="AB111" s="766">
        <f t="shared" si="36"/>
        <v>0.48141722191172354</v>
      </c>
      <c r="AC111" s="766">
        <f t="shared" si="36"/>
        <v>0.46697470525437179</v>
      </c>
      <c r="AD111" s="766">
        <f t="shared" si="36"/>
        <v>0.4529654640967406</v>
      </c>
      <c r="AE111" s="766">
        <f t="shared" si="36"/>
        <v>0.43937650017383839</v>
      </c>
      <c r="AF111" s="766">
        <f t="shared" si="36"/>
        <v>0.42619520516862325</v>
      </c>
      <c r="AG111" s="766">
        <f t="shared" si="36"/>
        <v>0.41340934901356452</v>
      </c>
      <c r="AH111" s="766">
        <f t="shared" si="36"/>
        <v>0.4010070685431576</v>
      </c>
      <c r="AI111" s="766">
        <f t="shared" si="36"/>
        <v>0.38897685648686287</v>
      </c>
      <c r="AJ111" s="724"/>
    </row>
    <row r="112" spans="1:36" s="720" customFormat="1" x14ac:dyDescent="0.25">
      <c r="A112" s="720" t="s">
        <v>1111</v>
      </c>
      <c r="D112" s="765">
        <f>1*0.93</f>
        <v>0.93</v>
      </c>
      <c r="E112" s="766">
        <f t="shared" ref="E112:AI112" si="37">D112*0.93</f>
        <v>0.86490000000000011</v>
      </c>
      <c r="F112" s="766"/>
      <c r="G112" s="766">
        <f>E112*0.93</f>
        <v>0.8043570000000001</v>
      </c>
      <c r="H112" s="766">
        <f t="shared" si="37"/>
        <v>0.7480520100000001</v>
      </c>
      <c r="I112" s="766">
        <f t="shared" si="37"/>
        <v>0.69568836930000011</v>
      </c>
      <c r="J112" s="766">
        <f t="shared" si="37"/>
        <v>0.64699018344900017</v>
      </c>
      <c r="K112" s="766">
        <f t="shared" si="37"/>
        <v>0.60170087060757016</v>
      </c>
      <c r="L112" s="766">
        <f t="shared" si="37"/>
        <v>0.55958180966504023</v>
      </c>
      <c r="M112" s="766">
        <f t="shared" si="37"/>
        <v>0.52041108298848748</v>
      </c>
      <c r="N112" s="766">
        <f t="shared" si="37"/>
        <v>0.48398230717929336</v>
      </c>
      <c r="O112" s="766">
        <f t="shared" si="37"/>
        <v>0.45010354567674282</v>
      </c>
      <c r="P112" s="766">
        <f t="shared" si="37"/>
        <v>0.41859629747937083</v>
      </c>
      <c r="Q112" s="766">
        <f t="shared" si="37"/>
        <v>0.38929455665581492</v>
      </c>
      <c r="R112" s="766">
        <f t="shared" si="37"/>
        <v>0.36204393768990789</v>
      </c>
      <c r="S112" s="766">
        <f t="shared" si="37"/>
        <v>0.33670086205161437</v>
      </c>
      <c r="T112" s="766">
        <f t="shared" si="37"/>
        <v>0.31313180170800137</v>
      </c>
      <c r="U112" s="766">
        <f t="shared" si="37"/>
        <v>0.29121257558844127</v>
      </c>
      <c r="V112" s="766">
        <f t="shared" si="37"/>
        <v>0.27082769529725037</v>
      </c>
      <c r="W112" s="766">
        <f t="shared" si="37"/>
        <v>0.25186975662644284</v>
      </c>
      <c r="X112" s="766">
        <f t="shared" si="37"/>
        <v>0.23423887366259186</v>
      </c>
      <c r="Y112" s="766">
        <f t="shared" si="37"/>
        <v>0.21784215250621045</v>
      </c>
      <c r="Z112" s="766">
        <f t="shared" si="37"/>
        <v>0.20259320183077573</v>
      </c>
      <c r="AA112" s="766">
        <f t="shared" si="37"/>
        <v>0.18841167770262143</v>
      </c>
      <c r="AB112" s="766">
        <f t="shared" si="37"/>
        <v>0.17522286026343795</v>
      </c>
      <c r="AC112" s="766">
        <f t="shared" si="37"/>
        <v>0.1629572600449973</v>
      </c>
      <c r="AD112" s="766">
        <f t="shared" si="37"/>
        <v>0.15155025184184751</v>
      </c>
      <c r="AE112" s="766">
        <f t="shared" si="37"/>
        <v>0.1409417342129182</v>
      </c>
      <c r="AF112" s="766">
        <f t="shared" si="37"/>
        <v>0.13107581281801392</v>
      </c>
      <c r="AG112" s="766">
        <f t="shared" si="37"/>
        <v>0.12190050592075295</v>
      </c>
      <c r="AH112" s="766">
        <f t="shared" si="37"/>
        <v>0.11336747050630025</v>
      </c>
      <c r="AI112" s="766">
        <f t="shared" si="37"/>
        <v>0.10543174757085924</v>
      </c>
      <c r="AJ112" s="724"/>
    </row>
    <row r="113" spans="1:36" s="720" customFormat="1" x14ac:dyDescent="0.25">
      <c r="AJ113" s="724"/>
    </row>
    <row r="114" spans="1:36" s="720" customFormat="1" x14ac:dyDescent="0.25">
      <c r="A114" s="720" t="s">
        <v>1126</v>
      </c>
      <c r="D114" s="729">
        <f>D109*D111</f>
        <v>9384889.6799999997</v>
      </c>
      <c r="E114" s="729">
        <f t="shared" ref="E114:AI114" si="38">E109*E111</f>
        <v>0</v>
      </c>
      <c r="F114" s="729"/>
      <c r="G114" s="729">
        <f>G109*G111</f>
        <v>33039374.090909999</v>
      </c>
      <c r="H114" s="729">
        <f t="shared" si="38"/>
        <v>0</v>
      </c>
      <c r="I114" s="729">
        <f t="shared" si="38"/>
        <v>0</v>
      </c>
      <c r="J114" s="729">
        <f t="shared" si="38"/>
        <v>0</v>
      </c>
      <c r="K114" s="729">
        <f t="shared" si="38"/>
        <v>0</v>
      </c>
      <c r="L114" s="729">
        <f t="shared" si="38"/>
        <v>0</v>
      </c>
      <c r="M114" s="729">
        <f t="shared" si="38"/>
        <v>0</v>
      </c>
      <c r="N114" s="729">
        <f t="shared" si="38"/>
        <v>0</v>
      </c>
      <c r="O114" s="729">
        <f t="shared" si="38"/>
        <v>0</v>
      </c>
      <c r="P114" s="729">
        <f t="shared" si="38"/>
        <v>0</v>
      </c>
      <c r="Q114" s="729">
        <f t="shared" si="38"/>
        <v>0</v>
      </c>
      <c r="R114" s="729">
        <f t="shared" si="38"/>
        <v>0</v>
      </c>
      <c r="S114" s="729">
        <f t="shared" si="38"/>
        <v>0</v>
      </c>
      <c r="T114" s="729">
        <f t="shared" si="38"/>
        <v>0</v>
      </c>
      <c r="U114" s="729">
        <f t="shared" si="38"/>
        <v>0</v>
      </c>
      <c r="V114" s="729">
        <f t="shared" si="38"/>
        <v>0</v>
      </c>
      <c r="W114" s="729">
        <f t="shared" si="38"/>
        <v>0</v>
      </c>
      <c r="X114" s="729">
        <f t="shared" si="38"/>
        <v>0</v>
      </c>
      <c r="Y114" s="729">
        <f t="shared" si="38"/>
        <v>0</v>
      </c>
      <c r="Z114" s="729">
        <f t="shared" si="38"/>
        <v>0</v>
      </c>
      <c r="AA114" s="729">
        <f t="shared" si="38"/>
        <v>0</v>
      </c>
      <c r="AB114" s="729">
        <f t="shared" si="38"/>
        <v>0</v>
      </c>
      <c r="AC114" s="729">
        <f t="shared" si="38"/>
        <v>0</v>
      </c>
      <c r="AD114" s="729">
        <f t="shared" si="38"/>
        <v>0</v>
      </c>
      <c r="AE114" s="729">
        <f t="shared" si="38"/>
        <v>0</v>
      </c>
      <c r="AF114" s="729">
        <f t="shared" si="38"/>
        <v>0</v>
      </c>
      <c r="AG114" s="729">
        <f t="shared" si="38"/>
        <v>0</v>
      </c>
      <c r="AH114" s="729">
        <f t="shared" si="38"/>
        <v>0</v>
      </c>
      <c r="AI114" s="729">
        <f t="shared" si="38"/>
        <v>0</v>
      </c>
      <c r="AJ114" s="724">
        <f>SUM(D114:AI114)</f>
        <v>42424263.770909995</v>
      </c>
    </row>
    <row r="115" spans="1:36" s="720" customFormat="1" x14ac:dyDescent="0.25">
      <c r="A115" s="720" t="s">
        <v>1127</v>
      </c>
      <c r="D115" s="729">
        <f>D109*D112</f>
        <v>8997883.9199999999</v>
      </c>
      <c r="E115" s="729">
        <f t="shared" ref="E115:AI115" si="39">E109*E112</f>
        <v>0</v>
      </c>
      <c r="F115" s="729"/>
      <c r="G115" s="729">
        <f>G109*G112</f>
        <v>29118262.319190003</v>
      </c>
      <c r="H115" s="729">
        <f t="shared" si="39"/>
        <v>0</v>
      </c>
      <c r="I115" s="729">
        <f t="shared" si="39"/>
        <v>0</v>
      </c>
      <c r="J115" s="729">
        <f t="shared" si="39"/>
        <v>0</v>
      </c>
      <c r="K115" s="729">
        <f t="shared" si="39"/>
        <v>0</v>
      </c>
      <c r="L115" s="729">
        <f t="shared" si="39"/>
        <v>0</v>
      </c>
      <c r="M115" s="729">
        <f t="shared" si="39"/>
        <v>0</v>
      </c>
      <c r="N115" s="729">
        <f t="shared" si="39"/>
        <v>0</v>
      </c>
      <c r="O115" s="729">
        <f t="shared" si="39"/>
        <v>0</v>
      </c>
      <c r="P115" s="729">
        <f t="shared" si="39"/>
        <v>0</v>
      </c>
      <c r="Q115" s="729">
        <f t="shared" si="39"/>
        <v>0</v>
      </c>
      <c r="R115" s="729">
        <f t="shared" si="39"/>
        <v>0</v>
      </c>
      <c r="S115" s="729">
        <f t="shared" si="39"/>
        <v>0</v>
      </c>
      <c r="T115" s="729">
        <f t="shared" si="39"/>
        <v>0</v>
      </c>
      <c r="U115" s="729">
        <f t="shared" si="39"/>
        <v>0</v>
      </c>
      <c r="V115" s="729">
        <f t="shared" si="39"/>
        <v>0</v>
      </c>
      <c r="W115" s="729">
        <f t="shared" si="39"/>
        <v>0</v>
      </c>
      <c r="X115" s="729">
        <f t="shared" si="39"/>
        <v>0</v>
      </c>
      <c r="Y115" s="729">
        <f t="shared" si="39"/>
        <v>0</v>
      </c>
      <c r="Z115" s="729">
        <f t="shared" si="39"/>
        <v>0</v>
      </c>
      <c r="AA115" s="729">
        <f t="shared" si="39"/>
        <v>0</v>
      </c>
      <c r="AB115" s="729">
        <f t="shared" si="39"/>
        <v>0</v>
      </c>
      <c r="AC115" s="729">
        <f t="shared" si="39"/>
        <v>0</v>
      </c>
      <c r="AD115" s="729">
        <f t="shared" si="39"/>
        <v>0</v>
      </c>
      <c r="AE115" s="729">
        <f t="shared" si="39"/>
        <v>0</v>
      </c>
      <c r="AF115" s="729">
        <f t="shared" si="39"/>
        <v>0</v>
      </c>
      <c r="AG115" s="729">
        <f t="shared" si="39"/>
        <v>0</v>
      </c>
      <c r="AH115" s="729">
        <f t="shared" si="39"/>
        <v>0</v>
      </c>
      <c r="AI115" s="729">
        <f t="shared" si="39"/>
        <v>0</v>
      </c>
      <c r="AJ115" s="724">
        <f>SUM(D115:AI115)</f>
        <v>38116146.239190005</v>
      </c>
    </row>
    <row r="118" spans="1:36" x14ac:dyDescent="0.25">
      <c r="A118" s="783" t="s">
        <v>1128</v>
      </c>
      <c r="B118" s="784">
        <f>AJ88/AJ114</f>
        <v>0.98928205880913733</v>
      </c>
    </row>
    <row r="119" spans="1:36" x14ac:dyDescent="0.25">
      <c r="A119" s="783" t="s">
        <v>1129</v>
      </c>
      <c r="B119" s="784">
        <f>AJ94/AJ115</f>
        <v>0.59840342816566416</v>
      </c>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A1:AQ144"/>
  <sheetViews>
    <sheetView topLeftCell="G1" zoomScaleNormal="100" workbookViewId="0">
      <selection activeCell="I22" sqref="I22"/>
    </sheetView>
  </sheetViews>
  <sheetFormatPr defaultColWidth="9.140625" defaultRowHeight="12.75" x14ac:dyDescent="0.2"/>
  <cols>
    <col min="1" max="1" width="46.5703125" style="791" customWidth="1"/>
    <col min="2" max="2" width="15.85546875" style="791" bestFit="1" customWidth="1"/>
    <col min="3" max="3" width="12.42578125" style="791" customWidth="1"/>
    <col min="4" max="4" width="24.7109375" style="791" customWidth="1"/>
    <col min="5" max="5" width="14.140625" style="791" customWidth="1"/>
    <col min="6" max="6" width="15.42578125" style="791" customWidth="1"/>
    <col min="7" max="7" width="11.7109375" style="791" bestFit="1" customWidth="1"/>
    <col min="8" max="8" width="10.28515625" style="791" customWidth="1"/>
    <col min="9" max="9" width="48.5703125" style="791" customWidth="1"/>
    <col min="10" max="10" width="10.42578125" style="791" bestFit="1" customWidth="1"/>
    <col min="11" max="11" width="10.42578125" style="792" bestFit="1" customWidth="1"/>
    <col min="12" max="12" width="10.42578125" style="791" bestFit="1" customWidth="1"/>
    <col min="13" max="13" width="9.85546875" style="791" bestFit="1" customWidth="1"/>
    <col min="14" max="43" width="10.7109375" style="791" bestFit="1" customWidth="1"/>
    <col min="44" max="16384" width="9.140625" style="791"/>
  </cols>
  <sheetData>
    <row r="1" spans="1:43" ht="18.75" x14ac:dyDescent="0.3">
      <c r="A1" s="914" t="s">
        <v>1006</v>
      </c>
      <c r="B1" s="792"/>
    </row>
    <row r="3" spans="1:43" ht="33.75" thickBot="1" x14ac:dyDescent="0.3">
      <c r="A3" s="793" t="s">
        <v>1132</v>
      </c>
      <c r="I3" s="793" t="s">
        <v>1133</v>
      </c>
    </row>
    <row r="4" spans="1:43" ht="27" thickTop="1" x14ac:dyDescent="0.25">
      <c r="A4" s="915" t="s">
        <v>1193</v>
      </c>
      <c r="I4" s="794"/>
      <c r="J4" s="794"/>
      <c r="K4" s="795"/>
      <c r="L4" s="795"/>
      <c r="M4" s="795"/>
      <c r="N4" s="795"/>
      <c r="O4" s="795"/>
      <c r="P4" s="795"/>
      <c r="Q4" s="795"/>
      <c r="R4" s="795"/>
      <c r="S4" s="795"/>
      <c r="T4" s="795"/>
      <c r="V4" s="796"/>
      <c r="W4" s="797"/>
      <c r="X4" s="798"/>
      <c r="Z4" s="794"/>
      <c r="AA4" s="798"/>
      <c r="AC4" s="866" t="s">
        <v>1171</v>
      </c>
      <c r="AN4" s="866" t="s">
        <v>1172</v>
      </c>
    </row>
    <row r="5" spans="1:43" x14ac:dyDescent="0.2">
      <c r="A5" s="904" t="s">
        <v>1191</v>
      </c>
      <c r="B5" s="905"/>
      <c r="C5" s="906"/>
      <c r="I5" s="913" t="s">
        <v>1194</v>
      </c>
      <c r="K5" s="791"/>
      <c r="P5" s="792"/>
      <c r="R5" s="792"/>
      <c r="X5" s="792"/>
      <c r="AC5" s="867">
        <f>(AC7/J7)^(1/(AC6-J6))-1</f>
        <v>1.6865918960221382E-2</v>
      </c>
      <c r="AN5" s="867">
        <f>(AN7/AC7)^(1/(AN6-AC6))-1</f>
        <v>1.3934697624729875E-2</v>
      </c>
    </row>
    <row r="6" spans="1:43" x14ac:dyDescent="0.2">
      <c r="A6" s="800"/>
      <c r="B6" s="798"/>
      <c r="C6" s="847"/>
      <c r="I6" s="801"/>
      <c r="J6" s="802">
        <v>2016</v>
      </c>
      <c r="K6" s="802">
        <f>J6+1</f>
        <v>2017</v>
      </c>
      <c r="L6" s="802">
        <f t="shared" ref="L6:AN6" si="0">K6+1</f>
        <v>2018</v>
      </c>
      <c r="M6" s="802">
        <f t="shared" si="0"/>
        <v>2019</v>
      </c>
      <c r="N6" s="802">
        <f t="shared" si="0"/>
        <v>2020</v>
      </c>
      <c r="O6" s="802">
        <f t="shared" si="0"/>
        <v>2021</v>
      </c>
      <c r="P6" s="802">
        <f t="shared" si="0"/>
        <v>2022</v>
      </c>
      <c r="Q6" s="802">
        <f t="shared" si="0"/>
        <v>2023</v>
      </c>
      <c r="R6" s="802">
        <f t="shared" si="0"/>
        <v>2024</v>
      </c>
      <c r="S6" s="802">
        <f t="shared" si="0"/>
        <v>2025</v>
      </c>
      <c r="T6" s="802">
        <f t="shared" si="0"/>
        <v>2026</v>
      </c>
      <c r="U6" s="802">
        <f t="shared" si="0"/>
        <v>2027</v>
      </c>
      <c r="V6" s="802">
        <f t="shared" si="0"/>
        <v>2028</v>
      </c>
      <c r="W6" s="802">
        <f t="shared" si="0"/>
        <v>2029</v>
      </c>
      <c r="X6" s="802">
        <f t="shared" si="0"/>
        <v>2030</v>
      </c>
      <c r="Y6" s="802">
        <f t="shared" si="0"/>
        <v>2031</v>
      </c>
      <c r="Z6" s="802">
        <f t="shared" si="0"/>
        <v>2032</v>
      </c>
      <c r="AA6" s="802">
        <f t="shared" si="0"/>
        <v>2033</v>
      </c>
      <c r="AB6" s="802">
        <f t="shared" si="0"/>
        <v>2034</v>
      </c>
      <c r="AC6" s="802">
        <f t="shared" si="0"/>
        <v>2035</v>
      </c>
      <c r="AD6" s="802">
        <f t="shared" si="0"/>
        <v>2036</v>
      </c>
      <c r="AE6" s="802">
        <f t="shared" si="0"/>
        <v>2037</v>
      </c>
      <c r="AF6" s="802">
        <f t="shared" si="0"/>
        <v>2038</v>
      </c>
      <c r="AG6" s="802">
        <f t="shared" si="0"/>
        <v>2039</v>
      </c>
      <c r="AH6" s="802">
        <f t="shared" si="0"/>
        <v>2040</v>
      </c>
      <c r="AI6" s="802">
        <f t="shared" si="0"/>
        <v>2041</v>
      </c>
      <c r="AJ6" s="802">
        <f t="shared" si="0"/>
        <v>2042</v>
      </c>
      <c r="AK6" s="802">
        <f t="shared" si="0"/>
        <v>2043</v>
      </c>
      <c r="AL6" s="802">
        <f t="shared" si="0"/>
        <v>2044</v>
      </c>
      <c r="AM6" s="802">
        <f t="shared" si="0"/>
        <v>2045</v>
      </c>
      <c r="AN6" s="871">
        <f t="shared" si="0"/>
        <v>2046</v>
      </c>
      <c r="AO6" s="864"/>
      <c r="AP6" s="864"/>
      <c r="AQ6" s="864"/>
    </row>
    <row r="7" spans="1:43" x14ac:dyDescent="0.2">
      <c r="A7" s="800"/>
      <c r="B7" s="796" t="s">
        <v>1169</v>
      </c>
      <c r="C7" s="857">
        <v>2046</v>
      </c>
      <c r="I7" s="804" t="s">
        <v>415</v>
      </c>
      <c r="J7" s="888">
        <f>$B$8</f>
        <v>27000</v>
      </c>
      <c r="K7" s="888">
        <f>(J7*$AC$5)+J7</f>
        <v>27455.379811925977</v>
      </c>
      <c r="L7" s="888">
        <f>(K7*$AC$5)+K7</f>
        <v>27918.440022856019</v>
      </c>
      <c r="M7" s="888">
        <f t="shared" ref="M7:AB7" si="1">(L7*$AC$5)+L7</f>
        <v>28389.310169777309</v>
      </c>
      <c r="N7" s="888">
        <f t="shared" si="1"/>
        <v>28868.121974437363</v>
      </c>
      <c r="O7" s="888">
        <f t="shared" si="1"/>
        <v>29355.009380192008</v>
      </c>
      <c r="P7" s="888">
        <f t="shared" si="1"/>
        <v>29850.108589474865</v>
      </c>
      <c r="Q7" s="888">
        <f t="shared" si="1"/>
        <v>30353.558101898758</v>
      </c>
      <c r="R7" s="888">
        <f t="shared" si="1"/>
        <v>30865.498752999752</v>
      </c>
      <c r="S7" s="888">
        <f t="shared" si="1"/>
        <v>31386.073753634661</v>
      </c>
      <c r="T7" s="888">
        <f t="shared" si="1"/>
        <v>31915.428730042993</v>
      </c>
      <c r="U7" s="888">
        <f>(T7*$AC$5)+T7</f>
        <v>32453.711764584619</v>
      </c>
      <c r="V7" s="888">
        <f t="shared" si="1"/>
        <v>33001.073437164487</v>
      </c>
      <c r="W7" s="888">
        <f t="shared" si="1"/>
        <v>33557.66686735602</v>
      </c>
      <c r="X7" s="888">
        <f t="shared" si="1"/>
        <v>34123.647757234954</v>
      </c>
      <c r="Y7" s="888">
        <f t="shared" si="1"/>
        <v>34699.174434935616</v>
      </c>
      <c r="Z7" s="888">
        <f t="shared" si="1"/>
        <v>35284.407898941827</v>
      </c>
      <c r="AA7" s="888">
        <f t="shared" si="1"/>
        <v>35879.511863124775</v>
      </c>
      <c r="AB7" s="888">
        <f t="shared" si="1"/>
        <v>36484.652802540542</v>
      </c>
      <c r="AC7" s="888">
        <v>37100</v>
      </c>
      <c r="AD7" s="888">
        <f>(AC7*$AN$5)+AC7</f>
        <v>37616.97728187748</v>
      </c>
      <c r="AE7" s="888">
        <f t="shared" ref="AE7:AM7" si="2">(AD7*$AN$5)+AD7</f>
        <v>38141.158485856773</v>
      </c>
      <c r="AF7" s="888">
        <f t="shared" si="2"/>
        <v>38672.643996414088</v>
      </c>
      <c r="AG7" s="888">
        <f t="shared" si="2"/>
        <v>39211.53559685294</v>
      </c>
      <c r="AH7" s="888">
        <f t="shared" si="2"/>
        <v>39757.936488796418</v>
      </c>
      <c r="AI7" s="888">
        <f t="shared" si="2"/>
        <v>40311.951311951008</v>
      </c>
      <c r="AJ7" s="888">
        <f t="shared" si="2"/>
        <v>40873.686164145882</v>
      </c>
      <c r="AK7" s="888">
        <f t="shared" si="2"/>
        <v>41443.248621651357</v>
      </c>
      <c r="AL7" s="888">
        <f t="shared" si="2"/>
        <v>42020.74775978057</v>
      </c>
      <c r="AM7" s="888">
        <f t="shared" si="2"/>
        <v>42606.294173778158</v>
      </c>
      <c r="AN7" s="889">
        <f>$C$8</f>
        <v>43200</v>
      </c>
      <c r="AO7" s="805"/>
      <c r="AP7" s="805"/>
      <c r="AQ7" s="805"/>
    </row>
    <row r="8" spans="1:43" x14ac:dyDescent="0.2">
      <c r="A8" s="800" t="s">
        <v>415</v>
      </c>
      <c r="B8" s="859">
        <v>27000</v>
      </c>
      <c r="C8" s="860">
        <v>43200</v>
      </c>
      <c r="D8" s="798"/>
      <c r="I8" s="804" t="s">
        <v>1136</v>
      </c>
      <c r="J8" s="888">
        <f>J7*(1-$B$9)</f>
        <v>21330</v>
      </c>
      <c r="K8" s="888">
        <f>K$7*(1-$B$9)</f>
        <v>21689.750051421524</v>
      </c>
      <c r="L8" s="888">
        <f>L$7*(1-$B$9)</f>
        <v>22055.567618056255</v>
      </c>
      <c r="M8" s="888">
        <f t="shared" ref="M8:AM8" si="3">M$7*(1-$B$9)</f>
        <v>22427.555034124074</v>
      </c>
      <c r="N8" s="888">
        <f t="shared" si="3"/>
        <v>22805.816359805518</v>
      </c>
      <c r="O8" s="888">
        <f t="shared" si="3"/>
        <v>23190.457410351686</v>
      </c>
      <c r="P8" s="888">
        <f t="shared" si="3"/>
        <v>23581.585785685143</v>
      </c>
      <c r="Q8" s="888">
        <f t="shared" si="3"/>
        <v>23979.310900500019</v>
      </c>
      <c r="R8" s="888">
        <f t="shared" si="3"/>
        <v>24383.744014869804</v>
      </c>
      <c r="S8" s="888">
        <f t="shared" si="3"/>
        <v>24794.998265371381</v>
      </c>
      <c r="T8" s="888">
        <f t="shared" si="3"/>
        <v>25213.188696733967</v>
      </c>
      <c r="U8" s="888">
        <f t="shared" si="3"/>
        <v>25638.432294021852</v>
      </c>
      <c r="V8" s="888">
        <f t="shared" si="3"/>
        <v>26070.848015359945</v>
      </c>
      <c r="W8" s="888">
        <f t="shared" si="3"/>
        <v>26510.556825211257</v>
      </c>
      <c r="X8" s="888">
        <f t="shared" si="3"/>
        <v>26957.681728215615</v>
      </c>
      <c r="Y8" s="888">
        <f t="shared" si="3"/>
        <v>27412.347803599139</v>
      </c>
      <c r="Z8" s="888">
        <f t="shared" si="3"/>
        <v>27874.682240164046</v>
      </c>
      <c r="AA8" s="888">
        <f t="shared" si="3"/>
        <v>28344.814371868575</v>
      </c>
      <c r="AB8" s="888">
        <f t="shared" si="3"/>
        <v>28822.87571400703</v>
      </c>
      <c r="AC8" s="888">
        <f t="shared" si="3"/>
        <v>29309</v>
      </c>
      <c r="AD8" s="888">
        <f t="shared" si="3"/>
        <v>29717.412052683212</v>
      </c>
      <c r="AE8" s="888">
        <f t="shared" si="3"/>
        <v>30131.515203826853</v>
      </c>
      <c r="AF8" s="888">
        <f t="shared" si="3"/>
        <v>30551.388757167129</v>
      </c>
      <c r="AG8" s="888">
        <f t="shared" si="3"/>
        <v>30977.113121513823</v>
      </c>
      <c r="AH8" s="888">
        <f t="shared" si="3"/>
        <v>31408.769826149171</v>
      </c>
      <c r="AI8" s="888">
        <f t="shared" si="3"/>
        <v>31846.4415364413</v>
      </c>
      <c r="AJ8" s="888">
        <f t="shared" si="3"/>
        <v>32290.212069675246</v>
      </c>
      <c r="AK8" s="888">
        <f t="shared" si="3"/>
        <v>32740.166411104572</v>
      </c>
      <c r="AL8" s="888">
        <f t="shared" si="3"/>
        <v>33196.390730226653</v>
      </c>
      <c r="AM8" s="888">
        <f t="shared" si="3"/>
        <v>33658.97239728475</v>
      </c>
      <c r="AN8" s="889">
        <f>AN$7*(1-$C$9)</f>
        <v>34128</v>
      </c>
      <c r="AO8" s="807"/>
      <c r="AP8" s="807"/>
      <c r="AQ8" s="807"/>
    </row>
    <row r="9" spans="1:43" x14ac:dyDescent="0.2">
      <c r="A9" s="803" t="s">
        <v>1134</v>
      </c>
      <c r="B9" s="861">
        <v>0.21</v>
      </c>
      <c r="C9" s="862">
        <v>0.21</v>
      </c>
      <c r="D9" s="810"/>
      <c r="E9" s="810"/>
      <c r="F9" s="810"/>
      <c r="G9" s="810"/>
      <c r="I9" s="804" t="s">
        <v>1137</v>
      </c>
      <c r="J9" s="888">
        <f>J7*$B$9</f>
        <v>5670</v>
      </c>
      <c r="K9" s="888">
        <f>K7*$B$9</f>
        <v>5765.6297605044547</v>
      </c>
      <c r="L9" s="888">
        <f>L7*$B$9</f>
        <v>5862.8724047997639</v>
      </c>
      <c r="M9" s="888">
        <f>M7*$B$9</f>
        <v>5961.7551356532349</v>
      </c>
      <c r="N9" s="888">
        <f>N7*$B$9</f>
        <v>6062.3056146318459</v>
      </c>
      <c r="O9" s="888">
        <f t="shared" ref="O9:AN9" si="4">O7*$B$9</f>
        <v>6164.5519698403214</v>
      </c>
      <c r="P9" s="888">
        <f t="shared" si="4"/>
        <v>6268.5228037897214</v>
      </c>
      <c r="Q9" s="888">
        <f t="shared" si="4"/>
        <v>6374.247201398739</v>
      </c>
      <c r="R9" s="888">
        <f t="shared" si="4"/>
        <v>6481.7547381299473</v>
      </c>
      <c r="S9" s="888">
        <f t="shared" si="4"/>
        <v>6591.0754882632782</v>
      </c>
      <c r="T9" s="888">
        <f t="shared" si="4"/>
        <v>6702.2400333090281</v>
      </c>
      <c r="U9" s="888">
        <f t="shared" si="4"/>
        <v>6815.2794705627693</v>
      </c>
      <c r="V9" s="888">
        <f t="shared" si="4"/>
        <v>6930.2254218045418</v>
      </c>
      <c r="W9" s="888">
        <f t="shared" si="4"/>
        <v>7047.1100421447636</v>
      </c>
      <c r="X9" s="888">
        <f t="shared" si="4"/>
        <v>7165.9660290193397</v>
      </c>
      <c r="Y9" s="888">
        <f t="shared" si="4"/>
        <v>7286.8266313364793</v>
      </c>
      <c r="Z9" s="888">
        <f t="shared" si="4"/>
        <v>7409.7256587777829</v>
      </c>
      <c r="AA9" s="888">
        <f t="shared" si="4"/>
        <v>7534.6974912562027</v>
      </c>
      <c r="AB9" s="888">
        <f t="shared" si="4"/>
        <v>7661.777088533514</v>
      </c>
      <c r="AC9" s="888">
        <f t="shared" si="4"/>
        <v>7791</v>
      </c>
      <c r="AD9" s="888">
        <f t="shared" si="4"/>
        <v>7899.5652291942706</v>
      </c>
      <c r="AE9" s="888">
        <f t="shared" si="4"/>
        <v>8009.6432820299224</v>
      </c>
      <c r="AF9" s="888">
        <f t="shared" si="4"/>
        <v>8121.2552392469579</v>
      </c>
      <c r="AG9" s="888">
        <f t="shared" si="4"/>
        <v>8234.4224753391172</v>
      </c>
      <c r="AH9" s="888">
        <f t="shared" si="4"/>
        <v>8349.166662647247</v>
      </c>
      <c r="AI9" s="888">
        <f t="shared" si="4"/>
        <v>8465.5097755097122</v>
      </c>
      <c r="AJ9" s="888">
        <f t="shared" si="4"/>
        <v>8583.4740944706355</v>
      </c>
      <c r="AK9" s="888">
        <f t="shared" si="4"/>
        <v>8703.0822105467851</v>
      </c>
      <c r="AL9" s="888">
        <f t="shared" si="4"/>
        <v>8824.3570295539193</v>
      </c>
      <c r="AM9" s="888">
        <f t="shared" si="4"/>
        <v>8947.3217764934125</v>
      </c>
      <c r="AN9" s="889">
        <f t="shared" si="4"/>
        <v>9072</v>
      </c>
      <c r="AO9" s="807"/>
      <c r="AP9" s="807"/>
      <c r="AQ9" s="807"/>
    </row>
    <row r="10" spans="1:43" x14ac:dyDescent="0.2">
      <c r="A10" s="854" t="s">
        <v>1165</v>
      </c>
      <c r="B10" s="854"/>
      <c r="C10" s="796"/>
      <c r="G10" s="810"/>
      <c r="I10" s="804"/>
      <c r="J10" s="805"/>
      <c r="K10" s="807"/>
      <c r="L10" s="807"/>
      <c r="M10" s="807"/>
      <c r="N10" s="807"/>
      <c r="O10" s="807"/>
      <c r="P10" s="807"/>
      <c r="Q10" s="807"/>
      <c r="R10" s="807"/>
      <c r="S10" s="807"/>
      <c r="T10" s="807"/>
      <c r="U10" s="807"/>
      <c r="V10" s="807"/>
      <c r="W10" s="807"/>
      <c r="X10" s="807"/>
      <c r="Y10" s="807"/>
      <c r="Z10" s="807"/>
      <c r="AA10" s="807"/>
      <c r="AB10" s="807"/>
      <c r="AC10" s="807"/>
      <c r="AD10" s="807"/>
      <c r="AE10" s="807"/>
      <c r="AF10" s="807"/>
      <c r="AG10" s="807"/>
      <c r="AH10" s="807"/>
      <c r="AI10" s="807"/>
      <c r="AJ10" s="807"/>
      <c r="AK10" s="807"/>
      <c r="AL10" s="807"/>
      <c r="AM10" s="807"/>
      <c r="AN10" s="808"/>
      <c r="AO10" s="807"/>
      <c r="AP10" s="807"/>
      <c r="AQ10" s="807"/>
    </row>
    <row r="11" spans="1:43" x14ac:dyDescent="0.2">
      <c r="I11" s="804" t="s">
        <v>1195</v>
      </c>
      <c r="J11" s="805"/>
      <c r="K11" s="807"/>
      <c r="L11" s="807"/>
      <c r="M11" s="807"/>
      <c r="N11" s="807"/>
      <c r="O11" s="807"/>
      <c r="P11" s="807"/>
      <c r="Q11" s="807"/>
      <c r="R11" s="807"/>
      <c r="S11" s="807"/>
      <c r="T11" s="807"/>
      <c r="U11" s="807"/>
      <c r="V11" s="807"/>
      <c r="W11" s="807"/>
      <c r="X11" s="807"/>
      <c r="Y11" s="807"/>
      <c r="Z11" s="807"/>
      <c r="AA11" s="807"/>
      <c r="AB11" s="807"/>
      <c r="AC11" s="807"/>
      <c r="AD11" s="807"/>
      <c r="AE11" s="807"/>
      <c r="AF11" s="807"/>
      <c r="AG11" s="807"/>
      <c r="AH11" s="807"/>
      <c r="AI11" s="807"/>
      <c r="AJ11" s="807"/>
      <c r="AK11" s="807"/>
      <c r="AL11" s="807"/>
      <c r="AM11" s="807"/>
      <c r="AN11" s="808"/>
      <c r="AO11" s="807"/>
      <c r="AP11" s="807"/>
      <c r="AQ11" s="807"/>
    </row>
    <row r="12" spans="1:43" x14ac:dyDescent="0.2">
      <c r="A12" s="904" t="s">
        <v>1195</v>
      </c>
      <c r="B12" s="905"/>
      <c r="C12" s="905"/>
      <c r="D12" s="905"/>
      <c r="E12" s="905"/>
      <c r="F12" s="906"/>
      <c r="I12" s="804" t="s">
        <v>1196</v>
      </c>
      <c r="J12" s="888">
        <f>$E$17</f>
        <v>21600</v>
      </c>
      <c r="K12" s="888">
        <f t="shared" ref="K12:AN12" si="5">J12*(1+$B$30)</f>
        <v>21816</v>
      </c>
      <c r="L12" s="888">
        <f t="shared" si="5"/>
        <v>22034.16</v>
      </c>
      <c r="M12" s="888">
        <f t="shared" si="5"/>
        <v>22254.5016</v>
      </c>
      <c r="N12" s="888">
        <f t="shared" si="5"/>
        <v>22477.046616</v>
      </c>
      <c r="O12" s="888">
        <f t="shared" si="5"/>
        <v>22701.81708216</v>
      </c>
      <c r="P12" s="888">
        <f t="shared" si="5"/>
        <v>22928.8352529816</v>
      </c>
      <c r="Q12" s="888">
        <f t="shared" si="5"/>
        <v>23158.123605511417</v>
      </c>
      <c r="R12" s="888">
        <f t="shared" si="5"/>
        <v>23389.70484156653</v>
      </c>
      <c r="S12" s="888">
        <f t="shared" si="5"/>
        <v>23623.601889982197</v>
      </c>
      <c r="T12" s="888">
        <f t="shared" si="5"/>
        <v>23859.837908882018</v>
      </c>
      <c r="U12" s="888">
        <f t="shared" si="5"/>
        <v>24098.436287970839</v>
      </c>
      <c r="V12" s="888">
        <f t="shared" si="5"/>
        <v>24339.420650850549</v>
      </c>
      <c r="W12" s="888">
        <f t="shared" si="5"/>
        <v>24582.814857359055</v>
      </c>
      <c r="X12" s="888">
        <f t="shared" si="5"/>
        <v>24828.643005932645</v>
      </c>
      <c r="Y12" s="888">
        <f t="shared" si="5"/>
        <v>25076.929435991973</v>
      </c>
      <c r="Z12" s="888">
        <f t="shared" si="5"/>
        <v>25327.698730351894</v>
      </c>
      <c r="AA12" s="888">
        <f t="shared" si="5"/>
        <v>25580.975717655412</v>
      </c>
      <c r="AB12" s="888">
        <f t="shared" si="5"/>
        <v>25836.785474831966</v>
      </c>
      <c r="AC12" s="888">
        <f t="shared" si="5"/>
        <v>26095.153329580287</v>
      </c>
      <c r="AD12" s="888">
        <f t="shared" si="5"/>
        <v>26356.104862876091</v>
      </c>
      <c r="AE12" s="888">
        <f t="shared" si="5"/>
        <v>26619.665911504853</v>
      </c>
      <c r="AF12" s="888">
        <f t="shared" si="5"/>
        <v>26885.862570619902</v>
      </c>
      <c r="AG12" s="888">
        <f t="shared" si="5"/>
        <v>27154.7211963261</v>
      </c>
      <c r="AH12" s="888">
        <f t="shared" si="5"/>
        <v>27426.268408289361</v>
      </c>
      <c r="AI12" s="888">
        <f t="shared" si="5"/>
        <v>27700.531092372254</v>
      </c>
      <c r="AJ12" s="888">
        <f t="shared" si="5"/>
        <v>27977.536403295977</v>
      </c>
      <c r="AK12" s="888">
        <f t="shared" si="5"/>
        <v>28257.311767328938</v>
      </c>
      <c r="AL12" s="888">
        <f t="shared" si="5"/>
        <v>28539.884885002226</v>
      </c>
      <c r="AM12" s="888">
        <f t="shared" si="5"/>
        <v>28825.283733852248</v>
      </c>
      <c r="AN12" s="889">
        <f t="shared" si="5"/>
        <v>29113.536571190769</v>
      </c>
      <c r="AO12" s="807"/>
      <c r="AP12" s="807"/>
      <c r="AQ12" s="807"/>
    </row>
    <row r="13" spans="1:43" x14ac:dyDescent="0.2">
      <c r="A13" s="872" t="s">
        <v>1174</v>
      </c>
      <c r="B13" s="810"/>
      <c r="C13" s="810"/>
      <c r="D13" s="810"/>
      <c r="E13" s="810"/>
      <c r="F13" s="917"/>
      <c r="G13" s="815"/>
      <c r="I13" s="804" t="s">
        <v>1173</v>
      </c>
      <c r="J13" s="886">
        <f>J12/(60*60*24)</f>
        <v>0.25</v>
      </c>
      <c r="K13" s="886">
        <f t="shared" ref="K13:AN13" si="6">K12/(60*60*24)</f>
        <v>0.2525</v>
      </c>
      <c r="L13" s="886">
        <f t="shared" si="6"/>
        <v>0.255025</v>
      </c>
      <c r="M13" s="886">
        <f t="shared" si="6"/>
        <v>0.25757524999999998</v>
      </c>
      <c r="N13" s="886">
        <f t="shared" si="6"/>
        <v>0.26015100250000001</v>
      </c>
      <c r="O13" s="886">
        <f t="shared" si="6"/>
        <v>0.26275251252499998</v>
      </c>
      <c r="P13" s="886">
        <f t="shared" si="6"/>
        <v>0.26538003765024998</v>
      </c>
      <c r="Q13" s="886">
        <f t="shared" si="6"/>
        <v>0.26803383802675251</v>
      </c>
      <c r="R13" s="886">
        <f t="shared" si="6"/>
        <v>0.27071417640702</v>
      </c>
      <c r="S13" s="886">
        <f t="shared" si="6"/>
        <v>0.27342131817109022</v>
      </c>
      <c r="T13" s="886">
        <f t="shared" si="6"/>
        <v>0.27615553135280113</v>
      </c>
      <c r="U13" s="886">
        <f t="shared" si="6"/>
        <v>0.27891708666632914</v>
      </c>
      <c r="V13" s="886">
        <f t="shared" si="6"/>
        <v>0.28170625753299244</v>
      </c>
      <c r="W13" s="886">
        <f t="shared" si="6"/>
        <v>0.28452332010832238</v>
      </c>
      <c r="X13" s="886">
        <f t="shared" si="6"/>
        <v>0.28736855330940564</v>
      </c>
      <c r="Y13" s="886">
        <f t="shared" si="6"/>
        <v>0.29024223884249967</v>
      </c>
      <c r="Z13" s="886">
        <f t="shared" si="6"/>
        <v>0.2931446612309247</v>
      </c>
      <c r="AA13" s="886">
        <f t="shared" si="6"/>
        <v>0.29607610784323396</v>
      </c>
      <c r="AB13" s="886">
        <f t="shared" si="6"/>
        <v>0.29903686892166625</v>
      </c>
      <c r="AC13" s="886">
        <f t="shared" si="6"/>
        <v>0.30202723761088296</v>
      </c>
      <c r="AD13" s="886">
        <f t="shared" si="6"/>
        <v>0.30504750998699182</v>
      </c>
      <c r="AE13" s="886">
        <f t="shared" si="6"/>
        <v>0.3080979850868617</v>
      </c>
      <c r="AF13" s="886">
        <f t="shared" si="6"/>
        <v>0.31117896493773034</v>
      </c>
      <c r="AG13" s="886">
        <f t="shared" si="6"/>
        <v>0.31429075458710765</v>
      </c>
      <c r="AH13" s="886">
        <f t="shared" si="6"/>
        <v>0.31743366213297869</v>
      </c>
      <c r="AI13" s="886">
        <f t="shared" si="6"/>
        <v>0.32060799875430851</v>
      </c>
      <c r="AJ13" s="886">
        <f t="shared" si="6"/>
        <v>0.32381407874185159</v>
      </c>
      <c r="AK13" s="886">
        <f t="shared" si="6"/>
        <v>0.32705221952927011</v>
      </c>
      <c r="AL13" s="886">
        <f t="shared" si="6"/>
        <v>0.33032274172456277</v>
      </c>
      <c r="AM13" s="886">
        <f t="shared" si="6"/>
        <v>0.33362596914180842</v>
      </c>
      <c r="AN13" s="887">
        <f t="shared" si="6"/>
        <v>0.33696222883322652</v>
      </c>
      <c r="AO13" s="816"/>
      <c r="AP13" s="816"/>
      <c r="AQ13" s="816"/>
    </row>
    <row r="14" spans="1:43" ht="38.25" x14ac:dyDescent="0.2">
      <c r="A14" s="910" t="s">
        <v>1178</v>
      </c>
      <c r="B14" s="911" t="s">
        <v>1175</v>
      </c>
      <c r="C14" s="911" t="s">
        <v>1176</v>
      </c>
      <c r="D14" s="911" t="s">
        <v>1179</v>
      </c>
      <c r="E14" s="911" t="s">
        <v>1180</v>
      </c>
      <c r="F14" s="912" t="s">
        <v>1181</v>
      </c>
      <c r="G14" s="819"/>
      <c r="I14" s="804"/>
      <c r="J14" s="816"/>
      <c r="K14" s="816"/>
      <c r="L14" s="816"/>
      <c r="M14" s="816"/>
      <c r="N14" s="816"/>
      <c r="O14" s="816"/>
      <c r="P14" s="816"/>
      <c r="Q14" s="816"/>
      <c r="R14" s="816"/>
      <c r="S14" s="816"/>
      <c r="T14" s="816"/>
      <c r="U14" s="816"/>
      <c r="V14" s="816"/>
      <c r="W14" s="816"/>
      <c r="X14" s="816"/>
      <c r="Y14" s="816"/>
      <c r="Z14" s="816"/>
      <c r="AA14" s="816"/>
      <c r="AB14" s="816"/>
      <c r="AC14" s="816"/>
      <c r="AD14" s="816"/>
      <c r="AE14" s="816"/>
      <c r="AF14" s="816"/>
      <c r="AG14" s="816"/>
      <c r="AH14" s="816"/>
      <c r="AI14" s="816"/>
      <c r="AJ14" s="816"/>
      <c r="AK14" s="816"/>
      <c r="AL14" s="816"/>
      <c r="AM14" s="816"/>
      <c r="AN14" s="817"/>
      <c r="AO14" s="816"/>
      <c r="AP14" s="816"/>
      <c r="AQ14" s="816"/>
    </row>
    <row r="15" spans="1:43" x14ac:dyDescent="0.2">
      <c r="A15" s="873">
        <v>15</v>
      </c>
      <c r="B15" s="874">
        <v>1</v>
      </c>
      <c r="C15" s="875">
        <f>B15*60</f>
        <v>60</v>
      </c>
      <c r="D15" s="876">
        <f>B15*A15</f>
        <v>15</v>
      </c>
      <c r="E15" s="875">
        <f>D15*60</f>
        <v>900</v>
      </c>
      <c r="F15" s="877">
        <f>E15/(60*60)</f>
        <v>0.25</v>
      </c>
      <c r="I15" s="820" t="s">
        <v>1197</v>
      </c>
      <c r="J15" s="816"/>
      <c r="K15" s="816"/>
      <c r="L15" s="816"/>
      <c r="M15" s="816"/>
      <c r="N15" s="816"/>
      <c r="O15" s="816"/>
      <c r="P15" s="816"/>
      <c r="Q15" s="816"/>
      <c r="R15" s="816"/>
      <c r="S15" s="816"/>
      <c r="T15" s="816"/>
      <c r="U15" s="816"/>
      <c r="V15" s="816"/>
      <c r="W15" s="816"/>
      <c r="X15" s="816"/>
      <c r="Y15" s="816"/>
      <c r="Z15" s="816"/>
      <c r="AA15" s="816"/>
      <c r="AB15" s="816"/>
      <c r="AC15" s="816"/>
      <c r="AD15" s="816"/>
      <c r="AE15" s="816"/>
      <c r="AF15" s="816"/>
      <c r="AG15" s="816"/>
      <c r="AH15" s="816"/>
      <c r="AI15" s="816"/>
      <c r="AJ15" s="816"/>
      <c r="AK15" s="816"/>
      <c r="AL15" s="816"/>
      <c r="AM15" s="816"/>
      <c r="AN15" s="817"/>
      <c r="AO15" s="816"/>
      <c r="AP15" s="816"/>
      <c r="AQ15" s="816"/>
    </row>
    <row r="16" spans="1:43" ht="38.25" x14ac:dyDescent="0.2">
      <c r="A16" s="812" t="s">
        <v>1177</v>
      </c>
      <c r="B16" s="813" t="s">
        <v>1175</v>
      </c>
      <c r="C16" s="813" t="s">
        <v>1176</v>
      </c>
      <c r="D16" s="813" t="s">
        <v>1182</v>
      </c>
      <c r="E16" s="813" t="s">
        <v>1183</v>
      </c>
      <c r="F16" s="814" t="s">
        <v>1192</v>
      </c>
      <c r="H16" s="798"/>
      <c r="I16" s="804" t="s">
        <v>1136</v>
      </c>
      <c r="J16" s="888">
        <f t="shared" ref="J16:AN16" si="7">J$13*J$8*$B$28</f>
        <v>3199.5</v>
      </c>
      <c r="K16" s="888">
        <f t="shared" si="7"/>
        <v>3285.9971327903609</v>
      </c>
      <c r="L16" s="888">
        <f t="shared" si="7"/>
        <v>3374.8326790768779</v>
      </c>
      <c r="M16" s="888">
        <f t="shared" si="7"/>
        <v>3466.0698568819594</v>
      </c>
      <c r="N16" s="888">
        <f t="shared" si="7"/>
        <v>3559.7735933005838</v>
      </c>
      <c r="O16" s="888">
        <f t="shared" si="7"/>
        <v>3656.0105707043463</v>
      </c>
      <c r="P16" s="888">
        <f t="shared" si="7"/>
        <v>3754.8492741946338</v>
      </c>
      <c r="Q16" s="888">
        <f t="shared" si="7"/>
        <v>3856.3600403386572</v>
      </c>
      <c r="R16" s="888">
        <f t="shared" si="7"/>
        <v>3960.6151072230491</v>
      </c>
      <c r="S16" s="888">
        <f t="shared" si="7"/>
        <v>4067.6886658606427</v>
      </c>
      <c r="T16" s="888">
        <f t="shared" si="7"/>
        <v>4177.6569129870049</v>
      </c>
      <c r="U16" s="888">
        <f t="shared" si="7"/>
        <v>4290.5981052843026</v>
      </c>
      <c r="V16" s="888">
        <f t="shared" si="7"/>
        <v>4406.5926150710957</v>
      </c>
      <c r="W16" s="888">
        <f t="shared" si="7"/>
        <v>4525.722987497672</v>
      </c>
      <c r="X16" s="888">
        <f t="shared" si="7"/>
        <v>4648.0739992876315</v>
      </c>
      <c r="Y16" s="888">
        <f t="shared" si="7"/>
        <v>4773.7327190675351</v>
      </c>
      <c r="Z16" s="888">
        <f t="shared" si="7"/>
        <v>4902.7885693275366</v>
      </c>
      <c r="AA16" s="888">
        <f t="shared" si="7"/>
        <v>5035.3333900570851</v>
      </c>
      <c r="AB16" s="888">
        <f t="shared" si="7"/>
        <v>5171.4615041009984</v>
      </c>
      <c r="AC16" s="888">
        <f t="shared" si="7"/>
        <v>5311.2697842824209</v>
      </c>
      <c r="AD16" s="888">
        <f t="shared" si="7"/>
        <v>5439.1335299570592</v>
      </c>
      <c r="AE16" s="888">
        <f t="shared" si="7"/>
        <v>5570.0754731479155</v>
      </c>
      <c r="AF16" s="888">
        <f t="shared" si="7"/>
        <v>5704.169718519287</v>
      </c>
      <c r="AG16" s="888">
        <f t="shared" si="7"/>
        <v>5841.4921547344638</v>
      </c>
      <c r="AH16" s="888">
        <f t="shared" si="7"/>
        <v>5982.1204974037983</v>
      </c>
      <c r="AI16" s="888">
        <f t="shared" si="7"/>
        <v>6126.1343330667178</v>
      </c>
      <c r="AJ16" s="888">
        <f t="shared" si="7"/>
        <v>6273.615164232544</v>
      </c>
      <c r="AK16" s="888">
        <f t="shared" si="7"/>
        <v>6424.6464555056436</v>
      </c>
      <c r="AL16" s="888">
        <f t="shared" si="7"/>
        <v>6579.3136808209965</v>
      </c>
      <c r="AM16" s="888">
        <f t="shared" si="7"/>
        <v>6737.7043718169025</v>
      </c>
      <c r="AN16" s="889">
        <f t="shared" si="7"/>
        <v>6899.908167372213</v>
      </c>
      <c r="AO16" s="824"/>
      <c r="AP16" s="824"/>
      <c r="AQ16" s="824"/>
    </row>
    <row r="17" spans="1:43" x14ac:dyDescent="0.2">
      <c r="A17" s="873">
        <f>A15*24</f>
        <v>360</v>
      </c>
      <c r="B17" s="874">
        <v>1</v>
      </c>
      <c r="C17" s="875">
        <f>B17*60</f>
        <v>60</v>
      </c>
      <c r="D17" s="876">
        <f>D15*24</f>
        <v>360</v>
      </c>
      <c r="E17" s="875">
        <f>E15*24</f>
        <v>21600</v>
      </c>
      <c r="F17" s="877">
        <f>E17/(24*60*60)</f>
        <v>0.25</v>
      </c>
      <c r="H17" s="827"/>
      <c r="I17" s="804" t="s">
        <v>1137</v>
      </c>
      <c r="J17" s="888">
        <f t="shared" ref="J17:AN17" si="8">J$13*J$9*$B$29</f>
        <v>850.5</v>
      </c>
      <c r="K17" s="888">
        <f t="shared" si="8"/>
        <v>873.49290871642484</v>
      </c>
      <c r="L17" s="888">
        <f t="shared" si="8"/>
        <v>897.10742102043582</v>
      </c>
      <c r="M17" s="888">
        <f t="shared" si="8"/>
        <v>921.36034170279947</v>
      </c>
      <c r="N17" s="888">
        <f t="shared" si="8"/>
        <v>946.26892986471194</v>
      </c>
      <c r="O17" s="888">
        <f t="shared" si="8"/>
        <v>971.85091119988931</v>
      </c>
      <c r="P17" s="888">
        <f t="shared" si="8"/>
        <v>998.12449060870006</v>
      </c>
      <c r="Q17" s="888">
        <f t="shared" si="8"/>
        <v>1025.108365153314</v>
      </c>
      <c r="R17" s="888">
        <f t="shared" si="8"/>
        <v>1052.8217373630889</v>
      </c>
      <c r="S17" s="888">
        <f t="shared" si="8"/>
        <v>1081.2843288996646</v>
      </c>
      <c r="T17" s="888">
        <f t="shared" si="8"/>
        <v>1110.5163945914821</v>
      </c>
      <c r="U17" s="888">
        <f t="shared" si="8"/>
        <v>1140.5387368477257</v>
      </c>
      <c r="V17" s="888">
        <f t="shared" si="8"/>
        <v>1171.372720461937</v>
      </c>
      <c r="W17" s="888">
        <f t="shared" si="8"/>
        <v>1203.0402878158366</v>
      </c>
      <c r="X17" s="888">
        <f t="shared" si="8"/>
        <v>1235.5639744941802</v>
      </c>
      <c r="Y17" s="888">
        <f t="shared" si="8"/>
        <v>1268.9669253217496</v>
      </c>
      <c r="Z17" s="888">
        <f t="shared" si="8"/>
        <v>1303.2729108339022</v>
      </c>
      <c r="AA17" s="888">
        <f t="shared" si="8"/>
        <v>1338.5063441923894</v>
      </c>
      <c r="AB17" s="888">
        <f t="shared" si="8"/>
        <v>1374.6922985584931</v>
      </c>
      <c r="AC17" s="888">
        <f t="shared" si="8"/>
        <v>1411.8565249358335</v>
      </c>
      <c r="AD17" s="888">
        <f t="shared" si="8"/>
        <v>1445.8456218873196</v>
      </c>
      <c r="AE17" s="888">
        <f t="shared" si="8"/>
        <v>1480.6529738747622</v>
      </c>
      <c r="AF17" s="888">
        <f t="shared" si="8"/>
        <v>1516.2982796063927</v>
      </c>
      <c r="AG17" s="888">
        <f t="shared" si="8"/>
        <v>1552.8017120180218</v>
      </c>
      <c r="AH17" s="888">
        <f t="shared" si="8"/>
        <v>1590.1839296896173</v>
      </c>
      <c r="AI17" s="888">
        <f t="shared" si="8"/>
        <v>1628.4660885367227</v>
      </c>
      <c r="AJ17" s="888">
        <f t="shared" si="8"/>
        <v>1667.6698537833345</v>
      </c>
      <c r="AK17" s="888">
        <f t="shared" si="8"/>
        <v>1707.8174122230196</v>
      </c>
      <c r="AL17" s="888">
        <f t="shared" si="8"/>
        <v>1748.9314847752016</v>
      </c>
      <c r="AM17" s="888">
        <f t="shared" si="8"/>
        <v>1791.0353393437329</v>
      </c>
      <c r="AN17" s="889">
        <f t="shared" si="8"/>
        <v>1834.1528039850186</v>
      </c>
      <c r="AO17" s="824"/>
      <c r="AP17" s="824"/>
      <c r="AQ17" s="824"/>
    </row>
    <row r="18" spans="1:43" ht="12.75" customHeight="1" x14ac:dyDescent="0.2">
      <c r="A18" s="918" t="s">
        <v>370</v>
      </c>
      <c r="H18" s="827"/>
      <c r="I18" s="828"/>
      <c r="J18" s="805"/>
      <c r="K18" s="807"/>
      <c r="L18" s="807"/>
      <c r="M18" s="807"/>
      <c r="N18" s="807"/>
      <c r="O18" s="807"/>
      <c r="P18" s="807"/>
      <c r="Q18" s="807"/>
      <c r="R18" s="807"/>
      <c r="S18" s="807"/>
      <c r="T18" s="807"/>
      <c r="U18" s="807"/>
      <c r="V18" s="807"/>
      <c r="W18" s="807"/>
      <c r="X18" s="807"/>
      <c r="Y18" s="807"/>
      <c r="Z18" s="807"/>
      <c r="AA18" s="807"/>
      <c r="AB18" s="807"/>
      <c r="AC18" s="807"/>
      <c r="AD18" s="807"/>
      <c r="AE18" s="807"/>
      <c r="AF18" s="807"/>
      <c r="AG18" s="807"/>
      <c r="AH18" s="807"/>
      <c r="AI18" s="807"/>
      <c r="AJ18" s="807"/>
      <c r="AK18" s="807"/>
      <c r="AL18" s="807"/>
      <c r="AM18" s="807"/>
      <c r="AN18" s="808"/>
      <c r="AO18" s="807"/>
      <c r="AP18" s="807"/>
      <c r="AQ18" s="807"/>
    </row>
    <row r="19" spans="1:43" x14ac:dyDescent="0.2">
      <c r="H19" s="798"/>
      <c r="I19" s="800" t="s">
        <v>1231</v>
      </c>
      <c r="AN19" s="847"/>
      <c r="AO19" s="807"/>
      <c r="AP19" s="807"/>
      <c r="AQ19" s="807"/>
    </row>
    <row r="20" spans="1:43" ht="25.5" x14ac:dyDescent="0.2">
      <c r="A20" s="904" t="s">
        <v>1184</v>
      </c>
      <c r="B20" s="905"/>
      <c r="C20" s="905"/>
      <c r="D20" s="906"/>
      <c r="E20" s="819"/>
      <c r="H20" s="798"/>
      <c r="I20" s="828" t="s">
        <v>1136</v>
      </c>
      <c r="J20" s="888">
        <f>J8*$B$34</f>
        <v>51405.3</v>
      </c>
      <c r="K20" s="888">
        <f>K8*$B$34</f>
        <v>52272.297623925879</v>
      </c>
      <c r="L20" s="888">
        <f t="shared" ref="L20:AN20" si="9">L8*$B$34</f>
        <v>53153.91795951558</v>
      </c>
      <c r="M20" s="888">
        <f t="shared" si="9"/>
        <v>54050.407632239025</v>
      </c>
      <c r="N20" s="888">
        <f t="shared" si="9"/>
        <v>54962.017427131301</v>
      </c>
      <c r="O20" s="888">
        <f t="shared" si="9"/>
        <v>55889.002358947568</v>
      </c>
      <c r="P20" s="888">
        <f t="shared" si="9"/>
        <v>56831.6217435012</v>
      </c>
      <c r="Q20" s="888">
        <f t="shared" si="9"/>
        <v>57790.139270205051</v>
      </c>
      <c r="R20" s="888">
        <f t="shared" si="9"/>
        <v>58764.823075836233</v>
      </c>
      <c r="S20" s="888">
        <f t="shared" si="9"/>
        <v>59755.945819545035</v>
      </c>
      <c r="T20" s="888">
        <f t="shared" si="9"/>
        <v>60763.784759128866</v>
      </c>
      <c r="U20" s="888">
        <f t="shared" si="9"/>
        <v>61788.621828592666</v>
      </c>
      <c r="V20" s="888">
        <f t="shared" si="9"/>
        <v>62830.743717017467</v>
      </c>
      <c r="W20" s="888">
        <f t="shared" si="9"/>
        <v>63890.441948759137</v>
      </c>
      <c r="X20" s="888">
        <f t="shared" si="9"/>
        <v>64968.012964999638</v>
      </c>
      <c r="Y20" s="888">
        <f t="shared" si="9"/>
        <v>66063.758206673927</v>
      </c>
      <c r="Z20" s="888">
        <f t="shared" si="9"/>
        <v>67177.984198795355</v>
      </c>
      <c r="AA20" s="888">
        <f t="shared" si="9"/>
        <v>68311.002636203266</v>
      </c>
      <c r="AB20" s="888">
        <f t="shared" si="9"/>
        <v>69463.130470756951</v>
      </c>
      <c r="AC20" s="888">
        <f t="shared" si="9"/>
        <v>70634.69</v>
      </c>
      <c r="AD20" s="888">
        <f t="shared" si="9"/>
        <v>71618.963046966543</v>
      </c>
      <c r="AE20" s="888">
        <f t="shared" si="9"/>
        <v>72616.951641222724</v>
      </c>
      <c r="AF20" s="888">
        <f t="shared" si="9"/>
        <v>73628.846904772785</v>
      </c>
      <c r="AG20" s="888">
        <f t="shared" si="9"/>
        <v>74654.842622848315</v>
      </c>
      <c r="AH20" s="888">
        <f t="shared" si="9"/>
        <v>75695.135281019509</v>
      </c>
      <c r="AI20" s="888">
        <f t="shared" si="9"/>
        <v>76749.924102823541</v>
      </c>
      <c r="AJ20" s="888">
        <f t="shared" si="9"/>
        <v>77819.411087917353</v>
      </c>
      <c r="AK20" s="888">
        <f t="shared" si="9"/>
        <v>78903.80105076202</v>
      </c>
      <c r="AL20" s="888">
        <f t="shared" si="9"/>
        <v>80003.301659846242</v>
      </c>
      <c r="AM20" s="888">
        <f t="shared" si="9"/>
        <v>81118.123477456247</v>
      </c>
      <c r="AN20" s="889">
        <f t="shared" si="9"/>
        <v>82248.48000000001</v>
      </c>
      <c r="AO20" s="831"/>
      <c r="AP20" s="831"/>
      <c r="AQ20" s="831"/>
    </row>
    <row r="21" spans="1:43" ht="25.5" x14ac:dyDescent="0.2">
      <c r="A21" s="821"/>
      <c r="B21" s="822" t="s">
        <v>415</v>
      </c>
      <c r="C21" s="822" t="s">
        <v>1136</v>
      </c>
      <c r="D21" s="823" t="s">
        <v>1137</v>
      </c>
      <c r="E21" s="819"/>
      <c r="H21" s="798"/>
      <c r="I21" s="828" t="s">
        <v>1137</v>
      </c>
      <c r="J21" s="888">
        <f>J9*$B$34</f>
        <v>13664.7</v>
      </c>
      <c r="K21" s="888">
        <f t="shared" ref="K21:AN21" si="10">K9*$B$34</f>
        <v>13895.167722815737</v>
      </c>
      <c r="L21" s="888">
        <f t="shared" si="10"/>
        <v>14129.522495567431</v>
      </c>
      <c r="M21" s="888">
        <f t="shared" si="10"/>
        <v>14367.829876924297</v>
      </c>
      <c r="N21" s="888">
        <f t="shared" si="10"/>
        <v>14610.15653126275</v>
      </c>
      <c r="O21" s="888">
        <f t="shared" si="10"/>
        <v>14856.570247315176</v>
      </c>
      <c r="P21" s="888">
        <f t="shared" si="10"/>
        <v>15107.139957133229</v>
      </c>
      <c r="Q21" s="888">
        <f t="shared" si="10"/>
        <v>15361.935755370961</v>
      </c>
      <c r="R21" s="888">
        <f t="shared" si="10"/>
        <v>15621.028918893175</v>
      </c>
      <c r="S21" s="888">
        <f t="shared" si="10"/>
        <v>15884.491926714501</v>
      </c>
      <c r="T21" s="888">
        <f t="shared" si="10"/>
        <v>16152.398480274758</v>
      </c>
      <c r="U21" s="888">
        <f t="shared" si="10"/>
        <v>16424.823524056275</v>
      </c>
      <c r="V21" s="888">
        <f t="shared" si="10"/>
        <v>16701.843266548945</v>
      </c>
      <c r="W21" s="888">
        <f t="shared" si="10"/>
        <v>16983.53520156888</v>
      </c>
      <c r="X21" s="888">
        <f t="shared" si="10"/>
        <v>17269.978129936611</v>
      </c>
      <c r="Y21" s="888">
        <f t="shared" si="10"/>
        <v>17561.252181520915</v>
      </c>
      <c r="Z21" s="888">
        <f t="shared" si="10"/>
        <v>17857.438837654459</v>
      </c>
      <c r="AA21" s="888">
        <f t="shared" si="10"/>
        <v>18158.62095392745</v>
      </c>
      <c r="AB21" s="888">
        <f t="shared" si="10"/>
        <v>18464.882783365771</v>
      </c>
      <c r="AC21" s="888">
        <f t="shared" si="10"/>
        <v>18776.310000000001</v>
      </c>
      <c r="AD21" s="888">
        <f t="shared" si="10"/>
        <v>19037.952202358192</v>
      </c>
      <c r="AE21" s="888">
        <f t="shared" si="10"/>
        <v>19303.240309692115</v>
      </c>
      <c r="AF21" s="888">
        <f t="shared" si="10"/>
        <v>19572.22512658517</v>
      </c>
      <c r="AG21" s="888">
        <f t="shared" si="10"/>
        <v>19844.958165567274</v>
      </c>
      <c r="AH21" s="888">
        <f t="shared" si="10"/>
        <v>20121.491656979866</v>
      </c>
      <c r="AI21" s="888">
        <f t="shared" si="10"/>
        <v>20401.878558978409</v>
      </c>
      <c r="AJ21" s="888">
        <f t="shared" si="10"/>
        <v>20686.172567674232</v>
      </c>
      <c r="AK21" s="888">
        <f t="shared" si="10"/>
        <v>20974.428127417752</v>
      </c>
      <c r="AL21" s="888">
        <f t="shared" si="10"/>
        <v>21266.700441224948</v>
      </c>
      <c r="AM21" s="888">
        <f t="shared" si="10"/>
        <v>21563.045481349127</v>
      </c>
      <c r="AN21" s="889">
        <f t="shared" si="10"/>
        <v>21863.52</v>
      </c>
      <c r="AO21" s="831"/>
      <c r="AP21" s="831"/>
      <c r="AQ21" s="831"/>
    </row>
    <row r="22" spans="1:43" x14ac:dyDescent="0.2">
      <c r="A22" s="826" t="s">
        <v>1142</v>
      </c>
      <c r="B22" s="878">
        <f>B8</f>
        <v>27000</v>
      </c>
      <c r="C22" s="878">
        <f>B22*(1-$B$9)</f>
        <v>21330</v>
      </c>
      <c r="D22" s="879">
        <f>B22*B9</f>
        <v>5670</v>
      </c>
      <c r="E22" s="819"/>
      <c r="G22" s="798"/>
      <c r="H22" s="798"/>
      <c r="I22" s="828"/>
      <c r="AN22" s="847"/>
      <c r="AO22" s="805"/>
      <c r="AP22" s="805"/>
      <c r="AQ22" s="807"/>
    </row>
    <row r="23" spans="1:43" x14ac:dyDescent="0.2">
      <c r="A23" s="826" t="s">
        <v>1143</v>
      </c>
      <c r="B23" s="880">
        <f>B22/(60*60*24)</f>
        <v>0.3125</v>
      </c>
      <c r="C23" s="880">
        <f>C22/(60*60*24)</f>
        <v>0.24687500000000001</v>
      </c>
      <c r="D23" s="881">
        <f>D22/(60*60*24)</f>
        <v>6.5625000000000003E-2</v>
      </c>
      <c r="E23" s="819"/>
      <c r="G23" s="835"/>
      <c r="H23" s="798"/>
      <c r="I23" s="820" t="s">
        <v>1198</v>
      </c>
      <c r="J23" s="805"/>
      <c r="K23" s="807"/>
      <c r="L23" s="807"/>
      <c r="M23" s="807"/>
      <c r="N23" s="807"/>
      <c r="O23" s="807"/>
      <c r="P23" s="807"/>
      <c r="Q23" s="807"/>
      <c r="R23" s="807"/>
      <c r="S23" s="807"/>
      <c r="T23" s="807"/>
      <c r="U23" s="807"/>
      <c r="V23" s="807"/>
      <c r="W23" s="807"/>
      <c r="X23" s="807"/>
      <c r="Y23" s="807"/>
      <c r="Z23" s="807"/>
      <c r="AA23" s="807"/>
      <c r="AB23" s="807"/>
      <c r="AC23" s="807"/>
      <c r="AD23" s="807"/>
      <c r="AE23" s="807"/>
      <c r="AF23" s="807"/>
      <c r="AG23" s="807"/>
      <c r="AH23" s="807"/>
      <c r="AI23" s="807"/>
      <c r="AJ23" s="807"/>
      <c r="AK23" s="807"/>
      <c r="AL23" s="807"/>
      <c r="AM23" s="807"/>
      <c r="AN23" s="808"/>
      <c r="AO23" s="805"/>
      <c r="AP23" s="805"/>
      <c r="AQ23" s="805"/>
    </row>
    <row r="24" spans="1:43" x14ac:dyDescent="0.2">
      <c r="A24" s="826" t="s">
        <v>1185</v>
      </c>
      <c r="B24" s="818"/>
      <c r="C24" s="882">
        <f>C23*E17</f>
        <v>5332.5</v>
      </c>
      <c r="D24" s="883">
        <f>D23*E17</f>
        <v>1417.5</v>
      </c>
      <c r="G24" s="837"/>
      <c r="I24" s="804" t="s">
        <v>1188</v>
      </c>
      <c r="J24" s="888">
        <f>(J8*($D$36-$D$37))/60</f>
        <v>143.79104895104896</v>
      </c>
      <c r="K24" s="888">
        <f>(K8*($D$36-$D$37))/60</f>
        <v>146.2162171298626</v>
      </c>
      <c r="L24" s="888">
        <f t="shared" ref="L24:AN24" si="11">(L8*($D$36-$D$37))/60</f>
        <v>148.68228799864497</v>
      </c>
      <c r="M24" s="888">
        <f t="shared" si="11"/>
        <v>151.1899514188504</v>
      </c>
      <c r="N24" s="888">
        <f t="shared" si="11"/>
        <v>153.73990888708056</v>
      </c>
      <c r="O24" s="888">
        <f t="shared" si="11"/>
        <v>156.33287373132185</v>
      </c>
      <c r="P24" s="888">
        <f t="shared" si="11"/>
        <v>158.96957131049285</v>
      </c>
      <c r="Q24" s="888">
        <f t="shared" si="11"/>
        <v>161.65073921735677</v>
      </c>
      <c r="R24" s="888">
        <f t="shared" si="11"/>
        <v>164.37712748485657</v>
      </c>
      <c r="S24" s="888">
        <f t="shared" si="11"/>
        <v>167.14949879593016</v>
      </c>
      <c r="T24" s="888">
        <f t="shared" si="11"/>
        <v>169.96862869686396</v>
      </c>
      <c r="U24" s="888">
        <f t="shared" si="11"/>
        <v>172.8353058142452</v>
      </c>
      <c r="V24" s="888">
        <f t="shared" si="11"/>
        <v>175.75033207557334</v>
      </c>
      <c r="W24" s="888">
        <f t="shared" si="11"/>
        <v>178.71452293359198</v>
      </c>
      <c r="X24" s="888">
        <f t="shared" si="11"/>
        <v>181.72870759440457</v>
      </c>
      <c r="Y24" s="888">
        <f t="shared" si="11"/>
        <v>184.79372924943755</v>
      </c>
      <c r="Z24" s="888">
        <f t="shared" si="11"/>
        <v>187.91044531131567</v>
      </c>
      <c r="AA24" s="888">
        <f t="shared" si="11"/>
        <v>191.07972765371545</v>
      </c>
      <c r="AB24" s="888">
        <f t="shared" si="11"/>
        <v>194.3024628552642</v>
      </c>
      <c r="AC24" s="888">
        <f t="shared" si="11"/>
        <v>197.57955244755246</v>
      </c>
      <c r="AD24" s="888">
        <f t="shared" si="11"/>
        <v>200.33276376773858</v>
      </c>
      <c r="AE24" s="888">
        <f t="shared" si="11"/>
        <v>203.12434025516845</v>
      </c>
      <c r="AF24" s="888">
        <f t="shared" si="11"/>
        <v>205.95481651684696</v>
      </c>
      <c r="AG24" s="888">
        <f t="shared" si="11"/>
        <v>208.82473460936592</v>
      </c>
      <c r="AH24" s="888">
        <f t="shared" si="11"/>
        <v>211.73464414271191</v>
      </c>
      <c r="AI24" s="888">
        <f t="shared" si="11"/>
        <v>214.68510238552037</v>
      </c>
      <c r="AJ24" s="888">
        <f t="shared" si="11"/>
        <v>217.67667437179676</v>
      </c>
      <c r="AK24" s="888">
        <f t="shared" si="11"/>
        <v>220.70993300912454</v>
      </c>
      <c r="AL24" s="888">
        <f t="shared" si="11"/>
        <v>223.78545918838108</v>
      </c>
      <c r="AM24" s="888">
        <f t="shared" si="11"/>
        <v>226.90384189498252</v>
      </c>
      <c r="AN24" s="889">
        <f t="shared" si="11"/>
        <v>230.06567832167832</v>
      </c>
      <c r="AO24" s="868"/>
      <c r="AP24" s="868"/>
      <c r="AQ24" s="868"/>
    </row>
    <row r="25" spans="1:43" x14ac:dyDescent="0.2">
      <c r="A25" s="829" t="s">
        <v>1186</v>
      </c>
      <c r="B25" s="830"/>
      <c r="C25" s="884">
        <f>C24/C22</f>
        <v>0.25</v>
      </c>
      <c r="D25" s="885">
        <f>D24/D22</f>
        <v>0.25</v>
      </c>
      <c r="G25" s="842"/>
      <c r="I25" s="804" t="s">
        <v>1146</v>
      </c>
      <c r="J25" s="888">
        <f>(J9*($D$36-$D$37))/60</f>
        <v>38.222937062937064</v>
      </c>
      <c r="K25" s="888">
        <f t="shared" ref="K25:AN25" si="12">(K9*($D$36-$D$37))/60</f>
        <v>38.867602021862204</v>
      </c>
      <c r="L25" s="888">
        <f t="shared" si="12"/>
        <v>39.523139847741064</v>
      </c>
      <c r="M25" s="888">
        <f t="shared" si="12"/>
        <v>40.189733921466562</v>
      </c>
      <c r="N25" s="888">
        <f t="shared" si="12"/>
        <v>40.867570716818882</v>
      </c>
      <c r="O25" s="888">
        <f t="shared" si="12"/>
        <v>41.556839852629864</v>
      </c>
      <c r="P25" s="888">
        <f t="shared" si="12"/>
        <v>42.257734145827207</v>
      </c>
      <c r="Q25" s="888">
        <f t="shared" si="12"/>
        <v>42.970449665373316</v>
      </c>
      <c r="R25" s="888">
        <f t="shared" si="12"/>
        <v>43.695185787113772</v>
      </c>
      <c r="S25" s="888">
        <f t="shared" si="12"/>
        <v>44.432145249551048</v>
      </c>
      <c r="T25" s="888">
        <f t="shared" si="12"/>
        <v>45.181534210558766</v>
      </c>
      <c r="U25" s="888">
        <f t="shared" si="12"/>
        <v>45.943562305052517</v>
      </c>
      <c r="V25" s="888">
        <f t="shared" si="12"/>
        <v>46.718442703633414</v>
      </c>
      <c r="W25" s="888">
        <f t="shared" si="12"/>
        <v>47.50639217222065</v>
      </c>
      <c r="X25" s="888">
        <f t="shared" si="12"/>
        <v>48.307631132689814</v>
      </c>
      <c r="Y25" s="888">
        <f t="shared" si="12"/>
        <v>49.122383724534032</v>
      </c>
      <c r="Z25" s="888">
        <f t="shared" si="12"/>
        <v>49.95087786756492</v>
      </c>
      <c r="AA25" s="888">
        <f t="shared" si="12"/>
        <v>50.79334532567119</v>
      </c>
      <c r="AB25" s="888">
        <f t="shared" si="12"/>
        <v>51.650021771652504</v>
      </c>
      <c r="AC25" s="888">
        <f t="shared" si="12"/>
        <v>52.52114685314686</v>
      </c>
      <c r="AD25" s="888">
        <f t="shared" si="12"/>
        <v>53.253013153449487</v>
      </c>
      <c r="AE25" s="888">
        <f t="shared" si="12"/>
        <v>53.995077789348571</v>
      </c>
      <c r="AF25" s="888">
        <f t="shared" si="12"/>
        <v>54.747482871566909</v>
      </c>
      <c r="AG25" s="888">
        <f t="shared" si="12"/>
        <v>55.510372491097272</v>
      </c>
      <c r="AH25" s="888">
        <f t="shared" si="12"/>
        <v>56.283892746796823</v>
      </c>
      <c r="AI25" s="888">
        <f t="shared" si="12"/>
        <v>57.068191773366173</v>
      </c>
      <c r="AJ25" s="888">
        <f t="shared" si="12"/>
        <v>57.863419769718128</v>
      </c>
      <c r="AK25" s="888">
        <f t="shared" si="12"/>
        <v>58.669729027741965</v>
      </c>
      <c r="AL25" s="888">
        <f t="shared" si="12"/>
        <v>59.487273961468382</v>
      </c>
      <c r="AM25" s="888">
        <f t="shared" si="12"/>
        <v>60.316211136640909</v>
      </c>
      <c r="AN25" s="889">
        <f t="shared" si="12"/>
        <v>61.156699300699302</v>
      </c>
      <c r="AO25" s="868"/>
      <c r="AP25" s="868"/>
      <c r="AQ25" s="868"/>
    </row>
    <row r="26" spans="1:43" x14ac:dyDescent="0.2">
      <c r="A26" s="810"/>
      <c r="B26" s="833" t="s">
        <v>485</v>
      </c>
      <c r="G26" s="819"/>
      <c r="I26" s="820"/>
      <c r="J26" s="805"/>
      <c r="K26" s="805"/>
      <c r="L26" s="805"/>
      <c r="M26" s="805"/>
      <c r="N26" s="805"/>
      <c r="O26" s="805"/>
      <c r="P26" s="805"/>
      <c r="Q26" s="805"/>
      <c r="R26" s="805"/>
      <c r="S26" s="805"/>
      <c r="T26" s="805"/>
      <c r="U26" s="805"/>
      <c r="V26" s="805"/>
      <c r="W26" s="805"/>
      <c r="X26" s="805"/>
      <c r="Y26" s="805"/>
      <c r="Z26" s="805"/>
      <c r="AA26" s="805"/>
      <c r="AB26" s="805"/>
      <c r="AC26" s="805"/>
      <c r="AD26" s="805"/>
      <c r="AE26" s="805"/>
      <c r="AF26" s="805"/>
      <c r="AG26" s="805"/>
      <c r="AH26" s="805"/>
      <c r="AI26" s="805"/>
      <c r="AJ26" s="805"/>
      <c r="AK26" s="805"/>
      <c r="AL26" s="805"/>
      <c r="AM26" s="805"/>
      <c r="AN26" s="806"/>
      <c r="AO26" s="868"/>
      <c r="AP26" s="868"/>
      <c r="AQ26" s="868"/>
    </row>
    <row r="27" spans="1:43" x14ac:dyDescent="0.2">
      <c r="A27" s="904" t="s">
        <v>1147</v>
      </c>
      <c r="B27" s="919"/>
      <c r="F27" s="798"/>
      <c r="G27" s="819"/>
      <c r="I27" s="820" t="s">
        <v>1166</v>
      </c>
      <c r="J27" s="805"/>
      <c r="K27" s="805"/>
      <c r="L27" s="805"/>
      <c r="M27" s="805"/>
      <c r="N27" s="805"/>
      <c r="O27" s="805"/>
      <c r="P27" s="805"/>
      <c r="Q27" s="805"/>
      <c r="R27" s="805"/>
      <c r="S27" s="805"/>
      <c r="T27" s="805"/>
      <c r="U27" s="805"/>
      <c r="V27" s="805"/>
      <c r="W27" s="805"/>
      <c r="X27" s="805"/>
      <c r="Y27" s="805"/>
      <c r="Z27" s="805"/>
      <c r="AA27" s="805"/>
      <c r="AB27" s="805"/>
      <c r="AC27" s="805"/>
      <c r="AD27" s="805"/>
      <c r="AE27" s="805"/>
      <c r="AF27" s="805"/>
      <c r="AG27" s="805"/>
      <c r="AH27" s="805"/>
      <c r="AI27" s="805"/>
      <c r="AJ27" s="805"/>
      <c r="AK27" s="805"/>
      <c r="AL27" s="805"/>
      <c r="AM27" s="805"/>
      <c r="AN27" s="806"/>
      <c r="AO27" s="868"/>
      <c r="AP27" s="868"/>
      <c r="AQ27" s="868"/>
    </row>
    <row r="28" spans="1:43" ht="25.5" x14ac:dyDescent="0.2">
      <c r="A28" s="834" t="s">
        <v>1148</v>
      </c>
      <c r="B28" s="907">
        <v>0.6</v>
      </c>
      <c r="F28" s="798"/>
      <c r="G28" s="810"/>
      <c r="I28" s="838" t="s">
        <v>1189</v>
      </c>
      <c r="J28" s="888">
        <f t="shared" ref="J28:AN28" si="13">J16*$C$15/(60*60)</f>
        <v>53.325000000000003</v>
      </c>
      <c r="K28" s="888">
        <f t="shared" si="13"/>
        <v>54.766618879839349</v>
      </c>
      <c r="L28" s="888">
        <f t="shared" si="13"/>
        <v>56.247211317947965</v>
      </c>
      <c r="M28" s="888">
        <f t="shared" si="13"/>
        <v>57.76783094803266</v>
      </c>
      <c r="N28" s="888">
        <f t="shared" si="13"/>
        <v>59.329559888343063</v>
      </c>
      <c r="O28" s="888">
        <f t="shared" si="13"/>
        <v>60.933509511739103</v>
      </c>
      <c r="P28" s="888">
        <f t="shared" si="13"/>
        <v>62.580821236577229</v>
      </c>
      <c r="Q28" s="888">
        <f t="shared" si="13"/>
        <v>64.272667338977612</v>
      </c>
      <c r="R28" s="888">
        <f t="shared" si="13"/>
        <v>66.010251787050819</v>
      </c>
      <c r="S28" s="888">
        <f t="shared" si="13"/>
        <v>67.794811097677382</v>
      </c>
      <c r="T28" s="888">
        <f t="shared" si="13"/>
        <v>69.627615216450081</v>
      </c>
      <c r="U28" s="888">
        <f t="shared" si="13"/>
        <v>71.509968421405034</v>
      </c>
      <c r="V28" s="888">
        <f t="shared" si="13"/>
        <v>73.443210251184922</v>
      </c>
      <c r="W28" s="888">
        <f t="shared" si="13"/>
        <v>75.428716458294531</v>
      </c>
      <c r="X28" s="888">
        <f t="shared" si="13"/>
        <v>77.467899988127186</v>
      </c>
      <c r="Y28" s="888">
        <f t="shared" si="13"/>
        <v>79.562211984458912</v>
      </c>
      <c r="Z28" s="888">
        <f t="shared" si="13"/>
        <v>81.713142822125619</v>
      </c>
      <c r="AA28" s="888">
        <f t="shared" si="13"/>
        <v>83.922223167618085</v>
      </c>
      <c r="AB28" s="888">
        <f t="shared" si="13"/>
        <v>86.191025068349973</v>
      </c>
      <c r="AC28" s="888">
        <f t="shared" si="13"/>
        <v>88.521163071373678</v>
      </c>
      <c r="AD28" s="888">
        <f t="shared" si="13"/>
        <v>90.652225499284313</v>
      </c>
      <c r="AE28" s="888">
        <f t="shared" si="13"/>
        <v>92.834591219131937</v>
      </c>
      <c r="AF28" s="888">
        <f t="shared" si="13"/>
        <v>95.06949530865478</v>
      </c>
      <c r="AG28" s="888">
        <f t="shared" si="13"/>
        <v>97.358202578907722</v>
      </c>
      <c r="AH28" s="888">
        <f t="shared" si="13"/>
        <v>99.702008290063304</v>
      </c>
      <c r="AI28" s="888">
        <f t="shared" si="13"/>
        <v>102.1022388844453</v>
      </c>
      <c r="AJ28" s="888">
        <f t="shared" si="13"/>
        <v>104.56025273720907</v>
      </c>
      <c r="AK28" s="888">
        <f t="shared" si="13"/>
        <v>107.07744092509407</v>
      </c>
      <c r="AL28" s="888">
        <f t="shared" si="13"/>
        <v>109.65522801368327</v>
      </c>
      <c r="AM28" s="888">
        <f t="shared" si="13"/>
        <v>112.29507286361505</v>
      </c>
      <c r="AN28" s="889">
        <f t="shared" si="13"/>
        <v>114.99846945620355</v>
      </c>
      <c r="AO28" s="868"/>
      <c r="AP28" s="868"/>
      <c r="AQ28" s="868"/>
    </row>
    <row r="29" spans="1:43" x14ac:dyDescent="0.2">
      <c r="A29" s="836" t="s">
        <v>1149</v>
      </c>
      <c r="B29" s="908">
        <v>0.6</v>
      </c>
      <c r="C29" s="810"/>
      <c r="G29" s="810"/>
      <c r="I29" s="843" t="s">
        <v>1151</v>
      </c>
      <c r="J29" s="888">
        <f t="shared" ref="J29:AN29" si="14">J17*$C$15/(60*60)</f>
        <v>14.175000000000001</v>
      </c>
      <c r="K29" s="888">
        <f t="shared" si="14"/>
        <v>14.558215145273747</v>
      </c>
      <c r="L29" s="888">
        <f t="shared" si="14"/>
        <v>14.951790350340598</v>
      </c>
      <c r="M29" s="888">
        <f t="shared" si="14"/>
        <v>15.356005695046658</v>
      </c>
      <c r="N29" s="888">
        <f t="shared" si="14"/>
        <v>15.771148831078531</v>
      </c>
      <c r="O29" s="888">
        <f t="shared" si="14"/>
        <v>16.19751518666482</v>
      </c>
      <c r="P29" s="888">
        <f t="shared" si="14"/>
        <v>16.635408176811669</v>
      </c>
      <c r="Q29" s="888">
        <f t="shared" si="14"/>
        <v>17.0851394192219</v>
      </c>
      <c r="R29" s="888">
        <f t="shared" si="14"/>
        <v>17.547028956051481</v>
      </c>
      <c r="S29" s="888">
        <f t="shared" si="14"/>
        <v>18.021405481661077</v>
      </c>
      <c r="T29" s="888">
        <f t="shared" si="14"/>
        <v>18.508606576524702</v>
      </c>
      <c r="U29" s="888">
        <f t="shared" si="14"/>
        <v>19.008978947462097</v>
      </c>
      <c r="V29" s="888">
        <f t="shared" si="14"/>
        <v>19.522878674365618</v>
      </c>
      <c r="W29" s="888">
        <f t="shared" si="14"/>
        <v>20.050671463597279</v>
      </c>
      <c r="X29" s="888">
        <f t="shared" si="14"/>
        <v>20.592732908236336</v>
      </c>
      <c r="Y29" s="888">
        <f t="shared" si="14"/>
        <v>21.149448755362492</v>
      </c>
      <c r="Z29" s="888">
        <f t="shared" si="14"/>
        <v>21.721215180565039</v>
      </c>
      <c r="AA29" s="888">
        <f t="shared" si="14"/>
        <v>22.308439069873156</v>
      </c>
      <c r="AB29" s="888">
        <f t="shared" si="14"/>
        <v>22.91153830930822</v>
      </c>
      <c r="AC29" s="888">
        <f t="shared" si="14"/>
        <v>23.530942082263891</v>
      </c>
      <c r="AD29" s="888">
        <f t="shared" si="14"/>
        <v>24.097427031455329</v>
      </c>
      <c r="AE29" s="888">
        <f t="shared" si="14"/>
        <v>24.677549564579369</v>
      </c>
      <c r="AF29" s="888">
        <f t="shared" si="14"/>
        <v>25.271637993439882</v>
      </c>
      <c r="AG29" s="888">
        <f t="shared" si="14"/>
        <v>25.880028533633695</v>
      </c>
      <c r="AH29" s="888">
        <f t="shared" si="14"/>
        <v>26.503065494826956</v>
      </c>
      <c r="AI29" s="888">
        <f t="shared" si="14"/>
        <v>27.141101475612047</v>
      </c>
      <c r="AJ29" s="888">
        <f t="shared" si="14"/>
        <v>27.794497563055572</v>
      </c>
      <c r="AK29" s="888">
        <f t="shared" si="14"/>
        <v>28.463623537050328</v>
      </c>
      <c r="AL29" s="888">
        <f t="shared" si="14"/>
        <v>29.148858079586692</v>
      </c>
      <c r="AM29" s="888">
        <f t="shared" si="14"/>
        <v>29.850588989062214</v>
      </c>
      <c r="AN29" s="889">
        <f t="shared" si="14"/>
        <v>30.569213399750311</v>
      </c>
      <c r="AO29" s="869"/>
      <c r="AP29" s="869"/>
      <c r="AQ29" s="869"/>
    </row>
    <row r="30" spans="1:43" x14ac:dyDescent="0.2">
      <c r="A30" s="841" t="s">
        <v>1187</v>
      </c>
      <c r="B30" s="909">
        <v>0.01</v>
      </c>
      <c r="C30" s="810"/>
      <c r="G30" s="810"/>
      <c r="I30" s="844"/>
      <c r="J30" s="839"/>
      <c r="K30" s="839"/>
      <c r="L30" s="839"/>
      <c r="M30" s="839"/>
      <c r="N30" s="839"/>
      <c r="O30" s="839"/>
      <c r="P30" s="839"/>
      <c r="Q30" s="839"/>
      <c r="R30" s="839"/>
      <c r="S30" s="839"/>
      <c r="T30" s="839"/>
      <c r="U30" s="839"/>
      <c r="V30" s="839"/>
      <c r="W30" s="839"/>
      <c r="X30" s="839"/>
      <c r="Y30" s="839"/>
      <c r="Z30" s="839"/>
      <c r="AA30" s="839"/>
      <c r="AB30" s="839"/>
      <c r="AC30" s="839"/>
      <c r="AD30" s="839"/>
      <c r="AE30" s="839"/>
      <c r="AF30" s="839"/>
      <c r="AG30" s="839"/>
      <c r="AH30" s="839"/>
      <c r="AI30" s="839"/>
      <c r="AJ30" s="839"/>
      <c r="AK30" s="839"/>
      <c r="AL30" s="839"/>
      <c r="AM30" s="839"/>
      <c r="AN30" s="840"/>
      <c r="AO30" s="810"/>
      <c r="AP30" s="810"/>
      <c r="AQ30" s="810"/>
    </row>
    <row r="31" spans="1:43" x14ac:dyDescent="0.2">
      <c r="G31" s="810"/>
      <c r="I31" s="844" t="s">
        <v>1190</v>
      </c>
      <c r="J31" s="920">
        <f>(J28+J24)*365</f>
        <v>71947.357867132872</v>
      </c>
      <c r="K31" s="920">
        <f t="shared" ref="K31:AN31" si="15">(K28+K24)*365</f>
        <v>73358.735143541213</v>
      </c>
      <c r="L31" s="920">
        <f t="shared" si="15"/>
        <v>74799.267250556426</v>
      </c>
      <c r="M31" s="920">
        <f t="shared" si="15"/>
        <v>76269.590563912323</v>
      </c>
      <c r="N31" s="920">
        <f t="shared" si="15"/>
        <v>77770.356103029626</v>
      </c>
      <c r="O31" s="920">
        <f t="shared" si="15"/>
        <v>79302.229883717242</v>
      </c>
      <c r="P31" s="920">
        <f t="shared" si="15"/>
        <v>80865.893279680589</v>
      </c>
      <c r="Q31" s="920">
        <f t="shared" si="15"/>
        <v>82462.043393062049</v>
      </c>
      <c r="R31" s="920">
        <f t="shared" si="15"/>
        <v>84091.393434246187</v>
      </c>
      <c r="S31" s="920">
        <f t="shared" si="15"/>
        <v>85754.673111166747</v>
      </c>
      <c r="T31" s="920">
        <f t="shared" si="15"/>
        <v>87452.629028359617</v>
      </c>
      <c r="U31" s="920">
        <f t="shared" si="15"/>
        <v>89186.025096012338</v>
      </c>
      <c r="V31" s="920">
        <f t="shared" si="15"/>
        <v>90955.642949266767</v>
      </c>
      <c r="W31" s="920">
        <f t="shared" si="15"/>
        <v>92762.282378038581</v>
      </c>
      <c r="X31" s="920">
        <f t="shared" si="15"/>
        <v>94606.761767624106</v>
      </c>
      <c r="Y31" s="920">
        <f t="shared" si="15"/>
        <v>96489.918550372211</v>
      </c>
      <c r="Z31" s="920">
        <f t="shared" si="15"/>
        <v>98412.609668706064</v>
      </c>
      <c r="AA31" s="920">
        <f t="shared" si="15"/>
        <v>100375.71204978674</v>
      </c>
      <c r="AB31" s="920">
        <f t="shared" si="15"/>
        <v>102380.12309211917</v>
      </c>
      <c r="AC31" s="920">
        <f t="shared" si="15"/>
        <v>104426.76116440803</v>
      </c>
      <c r="AD31" s="920">
        <f t="shared" si="15"/>
        <v>106209.52108246337</v>
      </c>
      <c r="AE31" s="920">
        <f t="shared" si="15"/>
        <v>108025.00998811964</v>
      </c>
      <c r="AF31" s="920">
        <f t="shared" si="15"/>
        <v>109873.87381630813</v>
      </c>
      <c r="AG31" s="920">
        <f t="shared" si="15"/>
        <v>111756.77207371987</v>
      </c>
      <c r="AH31" s="920">
        <f t="shared" si="15"/>
        <v>113674.37813796295</v>
      </c>
      <c r="AI31" s="920">
        <f t="shared" si="15"/>
        <v>115627.37956353747</v>
      </c>
      <c r="AJ31" s="920">
        <f t="shared" si="15"/>
        <v>117616.47839478712</v>
      </c>
      <c r="AK31" s="920">
        <f t="shared" si="15"/>
        <v>119642.39148598981</v>
      </c>
      <c r="AL31" s="920">
        <f t="shared" si="15"/>
        <v>121705.85082875348</v>
      </c>
      <c r="AM31" s="920">
        <f t="shared" si="15"/>
        <v>123807.6038868881</v>
      </c>
      <c r="AN31" s="921">
        <f t="shared" si="15"/>
        <v>125948.41393892688</v>
      </c>
      <c r="AO31" s="810"/>
      <c r="AP31" s="810"/>
      <c r="AQ31" s="810"/>
    </row>
    <row r="32" spans="1:43" x14ac:dyDescent="0.2">
      <c r="A32" s="904" t="s">
        <v>1199</v>
      </c>
      <c r="B32" s="905"/>
      <c r="C32" s="905"/>
      <c r="D32" s="906"/>
      <c r="E32" s="810"/>
      <c r="G32" s="810"/>
      <c r="I32" s="844" t="s">
        <v>1154</v>
      </c>
      <c r="J32" s="920">
        <f>(J29+J25)*365</f>
        <v>19125.247027972026</v>
      </c>
      <c r="K32" s="920">
        <f t="shared" ref="K32:AN32" si="16">(K29+K25)*365</f>
        <v>19500.423266004622</v>
      </c>
      <c r="L32" s="920">
        <f t="shared" si="16"/>
        <v>19883.349522299806</v>
      </c>
      <c r="M32" s="920">
        <f t="shared" si="16"/>
        <v>20274.194960027326</v>
      </c>
      <c r="N32" s="920">
        <f t="shared" si="16"/>
        <v>20673.132634982554</v>
      </c>
      <c r="O32" s="920">
        <f t="shared" si="16"/>
        <v>21080.339589342559</v>
      </c>
      <c r="P32" s="920">
        <f t="shared" si="16"/>
        <v>21495.996947763193</v>
      </c>
      <c r="Q32" s="920">
        <f t="shared" si="16"/>
        <v>21920.290015877254</v>
      </c>
      <c r="R32" s="920">
        <f t="shared" si="16"/>
        <v>22353.408381255314</v>
      </c>
      <c r="S32" s="920">
        <f t="shared" si="16"/>
        <v>22795.546016892426</v>
      </c>
      <c r="T32" s="920">
        <f t="shared" si="16"/>
        <v>23246.901387285463</v>
      </c>
      <c r="U32" s="920">
        <f t="shared" si="16"/>
        <v>23707.67755716783</v>
      </c>
      <c r="V32" s="920">
        <f t="shared" si="16"/>
        <v>24178.082302969644</v>
      </c>
      <c r="W32" s="920">
        <f t="shared" si="16"/>
        <v>24658.328227073544</v>
      </c>
      <c r="X32" s="920">
        <f t="shared" si="16"/>
        <v>25148.632874938045</v>
      </c>
      <c r="Y32" s="920">
        <f t="shared" si="16"/>
        <v>25649.218855162228</v>
      </c>
      <c r="Z32" s="920">
        <f t="shared" si="16"/>
        <v>26160.313962567438</v>
      </c>
      <c r="AA32" s="920">
        <f t="shared" si="16"/>
        <v>26682.151304373685</v>
      </c>
      <c r="AB32" s="920">
        <f t="shared" si="16"/>
        <v>27214.969429550667</v>
      </c>
      <c r="AC32" s="920">
        <f t="shared" si="16"/>
        <v>27759.012461424925</v>
      </c>
      <c r="AD32" s="920">
        <f t="shared" si="16"/>
        <v>28232.910667490258</v>
      </c>
      <c r="AE32" s="920">
        <f t="shared" si="16"/>
        <v>28715.508984183696</v>
      </c>
      <c r="AF32" s="920">
        <f t="shared" si="16"/>
        <v>29206.979115727478</v>
      </c>
      <c r="AG32" s="920">
        <f t="shared" si="16"/>
        <v>29707.496374026803</v>
      </c>
      <c r="AH32" s="920">
        <f t="shared" si="16"/>
        <v>30217.239758192678</v>
      </c>
      <c r="AI32" s="920">
        <f t="shared" si="16"/>
        <v>30736.392035877048</v>
      </c>
      <c r="AJ32" s="920">
        <f t="shared" si="16"/>
        <v>31265.139826462404</v>
      </c>
      <c r="AK32" s="920">
        <f t="shared" si="16"/>
        <v>31803.673686149185</v>
      </c>
      <c r="AL32" s="920">
        <f t="shared" si="16"/>
        <v>32352.188194985105</v>
      </c>
      <c r="AM32" s="920">
        <f t="shared" si="16"/>
        <v>32910.882045881641</v>
      </c>
      <c r="AN32" s="921">
        <f t="shared" si="16"/>
        <v>33479.958135664107</v>
      </c>
      <c r="AO32" s="870"/>
      <c r="AP32" s="870"/>
      <c r="AQ32" s="870"/>
    </row>
    <row r="33" spans="1:43" x14ac:dyDescent="0.2">
      <c r="A33" s="828"/>
      <c r="B33" s="796" t="s">
        <v>33</v>
      </c>
      <c r="C33" s="798"/>
      <c r="D33" s="931"/>
      <c r="G33" s="810"/>
      <c r="I33" s="844"/>
      <c r="J33" s="845"/>
      <c r="K33" s="845"/>
      <c r="L33" s="845"/>
      <c r="M33" s="845"/>
      <c r="N33" s="845"/>
      <c r="O33" s="845"/>
      <c r="P33" s="845"/>
      <c r="Q33" s="845"/>
      <c r="R33" s="845"/>
      <c r="S33" s="845"/>
      <c r="T33" s="845"/>
      <c r="U33" s="845"/>
      <c r="V33" s="845"/>
      <c r="W33" s="845"/>
      <c r="X33" s="845"/>
      <c r="Y33" s="845"/>
      <c r="Z33" s="845"/>
      <c r="AA33" s="845"/>
      <c r="AB33" s="845"/>
      <c r="AC33" s="845"/>
      <c r="AD33" s="845"/>
      <c r="AE33" s="845"/>
      <c r="AF33" s="845"/>
      <c r="AG33" s="845"/>
      <c r="AH33" s="845"/>
      <c r="AI33" s="845"/>
      <c r="AJ33" s="845"/>
      <c r="AK33" s="845"/>
      <c r="AL33" s="845"/>
      <c r="AM33" s="845"/>
      <c r="AN33" s="846"/>
      <c r="AO33" s="870"/>
      <c r="AP33" s="870"/>
      <c r="AQ33" s="870"/>
    </row>
    <row r="34" spans="1:43" x14ac:dyDescent="0.2">
      <c r="A34" s="800" t="s">
        <v>1232</v>
      </c>
      <c r="B34" s="933">
        <v>2.41</v>
      </c>
      <c r="C34" s="798"/>
      <c r="D34" s="931"/>
      <c r="E34" s="810"/>
      <c r="F34" s="810"/>
      <c r="G34" s="810"/>
      <c r="I34" s="828"/>
      <c r="J34" s="839"/>
      <c r="K34" s="798"/>
      <c r="L34" s="798"/>
      <c r="M34" s="798"/>
      <c r="N34" s="798"/>
      <c r="O34" s="798"/>
      <c r="P34" s="798"/>
      <c r="Q34" s="810"/>
      <c r="R34" s="798"/>
      <c r="S34" s="810"/>
      <c r="T34" s="798"/>
      <c r="U34" s="798"/>
      <c r="V34" s="798"/>
      <c r="W34" s="798"/>
      <c r="X34" s="798"/>
      <c r="Y34" s="810"/>
      <c r="Z34" s="798"/>
      <c r="AA34" s="798"/>
      <c r="AB34" s="798"/>
      <c r="AC34" s="798"/>
      <c r="AD34" s="798"/>
      <c r="AE34" s="798"/>
      <c r="AF34" s="798"/>
      <c r="AG34" s="798"/>
      <c r="AH34" s="798"/>
      <c r="AI34" s="798"/>
      <c r="AJ34" s="798"/>
      <c r="AK34" s="798"/>
      <c r="AL34" s="798"/>
      <c r="AM34" s="798"/>
      <c r="AN34" s="847"/>
      <c r="AO34" s="870"/>
      <c r="AP34" s="870"/>
      <c r="AQ34" s="870"/>
    </row>
    <row r="35" spans="1:43" ht="25.5" x14ac:dyDescent="0.2">
      <c r="A35" s="828"/>
      <c r="B35" s="796" t="s">
        <v>1201</v>
      </c>
      <c r="C35" s="796" t="s">
        <v>1233</v>
      </c>
      <c r="D35" s="932" t="s">
        <v>1234</v>
      </c>
      <c r="E35" s="810"/>
      <c r="F35" s="810"/>
      <c r="G35" s="810"/>
      <c r="I35" s="800" t="s">
        <v>1156</v>
      </c>
      <c r="J35" s="798"/>
      <c r="K35" s="798"/>
      <c r="L35" s="798"/>
      <c r="M35" s="798"/>
      <c r="N35" s="798"/>
      <c r="O35" s="798"/>
      <c r="P35" s="798"/>
      <c r="Q35" s="810"/>
      <c r="R35" s="798"/>
      <c r="S35" s="810"/>
      <c r="T35" s="798"/>
      <c r="U35" s="798"/>
      <c r="V35" s="798"/>
      <c r="W35" s="798"/>
      <c r="X35" s="798"/>
      <c r="Y35" s="810"/>
      <c r="Z35" s="798"/>
      <c r="AA35" s="798"/>
      <c r="AB35" s="798"/>
      <c r="AC35" s="798"/>
      <c r="AD35" s="798"/>
      <c r="AE35" s="798"/>
      <c r="AF35" s="798"/>
      <c r="AG35" s="798"/>
      <c r="AH35" s="798"/>
      <c r="AI35" s="798"/>
      <c r="AJ35" s="798"/>
      <c r="AK35" s="798"/>
      <c r="AL35" s="798"/>
      <c r="AM35" s="798"/>
      <c r="AN35" s="847"/>
    </row>
    <row r="36" spans="1:43" x14ac:dyDescent="0.2">
      <c r="A36" s="800" t="s">
        <v>1200</v>
      </c>
      <c r="B36" s="933">
        <v>55</v>
      </c>
      <c r="C36" s="934">
        <f>B36/60</f>
        <v>0.91666666666666663</v>
      </c>
      <c r="D36" s="935">
        <f>B34/C36</f>
        <v>2.6290909090909094</v>
      </c>
      <c r="E36" s="929"/>
      <c r="F36" s="810"/>
      <c r="G36" s="810"/>
      <c r="I36" s="828" t="s">
        <v>1136</v>
      </c>
      <c r="J36" s="848">
        <f t="shared" ref="J36:AN36" si="17">J31*$B$47</f>
        <v>928120.91648601403</v>
      </c>
      <c r="K36" s="848">
        <f t="shared" si="17"/>
        <v>946327.68335168168</v>
      </c>
      <c r="L36" s="848">
        <f t="shared" si="17"/>
        <v>964910.54753217788</v>
      </c>
      <c r="M36" s="848">
        <f t="shared" si="17"/>
        <v>983877.71827446902</v>
      </c>
      <c r="N36" s="848">
        <f t="shared" si="17"/>
        <v>1003237.5937290821</v>
      </c>
      <c r="O36" s="848">
        <f t="shared" si="17"/>
        <v>1022998.7654999525</v>
      </c>
      <c r="P36" s="848">
        <f t="shared" si="17"/>
        <v>1043170.0233078797</v>
      </c>
      <c r="Q36" s="848">
        <f t="shared" si="17"/>
        <v>1063760.3597705006</v>
      </c>
      <c r="R36" s="848">
        <f t="shared" si="17"/>
        <v>1084778.9753017758</v>
      </c>
      <c r="S36" s="848">
        <f t="shared" si="17"/>
        <v>1106235.2831340511</v>
      </c>
      <c r="T36" s="848">
        <f t="shared" si="17"/>
        <v>1128138.914465839</v>
      </c>
      <c r="U36" s="848">
        <f t="shared" si="17"/>
        <v>1150499.7237385593</v>
      </c>
      <c r="V36" s="848">
        <f t="shared" si="17"/>
        <v>1173327.7940455414</v>
      </c>
      <c r="W36" s="848">
        <f t="shared" si="17"/>
        <v>1196633.4426766976</v>
      </c>
      <c r="X36" s="848">
        <f t="shared" si="17"/>
        <v>1220427.226802351</v>
      </c>
      <c r="Y36" s="848">
        <f t="shared" si="17"/>
        <v>1244719.9492998016</v>
      </c>
      <c r="Z36" s="848">
        <f t="shared" si="17"/>
        <v>1269522.6647263083</v>
      </c>
      <c r="AA36" s="848">
        <f t="shared" si="17"/>
        <v>1294846.6854422491</v>
      </c>
      <c r="AB36" s="848">
        <f t="shared" si="17"/>
        <v>1320703.5878883374</v>
      </c>
      <c r="AC36" s="848">
        <f t="shared" si="17"/>
        <v>1347105.2190208635</v>
      </c>
      <c r="AD36" s="848">
        <f t="shared" si="17"/>
        <v>1370102.8219637775</v>
      </c>
      <c r="AE36" s="848">
        <f t="shared" si="17"/>
        <v>1393522.6288467434</v>
      </c>
      <c r="AF36" s="848">
        <f t="shared" si="17"/>
        <v>1417372.9722303748</v>
      </c>
      <c r="AG36" s="848">
        <f t="shared" si="17"/>
        <v>1441662.3597509863</v>
      </c>
      <c r="AH36" s="848">
        <f t="shared" si="17"/>
        <v>1466399.4779797222</v>
      </c>
      <c r="AI36" s="848">
        <f t="shared" si="17"/>
        <v>1491593.1963696333</v>
      </c>
      <c r="AJ36" s="848">
        <f t="shared" si="17"/>
        <v>1517252.5712927538</v>
      </c>
      <c r="AK36" s="848">
        <f t="shared" si="17"/>
        <v>1543386.8501692684</v>
      </c>
      <c r="AL36" s="848">
        <f t="shared" si="17"/>
        <v>1570005.4756909199</v>
      </c>
      <c r="AM36" s="848">
        <f t="shared" si="17"/>
        <v>1597118.0901408566</v>
      </c>
      <c r="AN36" s="849">
        <f t="shared" si="17"/>
        <v>1624734.5398121569</v>
      </c>
      <c r="AO36" s="798"/>
      <c r="AP36" s="798"/>
      <c r="AQ36" s="798"/>
    </row>
    <row r="37" spans="1:43" x14ac:dyDescent="0.2">
      <c r="A37" s="803" t="s">
        <v>1235</v>
      </c>
      <c r="B37" s="936">
        <v>65</v>
      </c>
      <c r="C37" s="937">
        <f>B37/60</f>
        <v>1.0833333333333333</v>
      </c>
      <c r="D37" s="938">
        <f>B34/C37</f>
        <v>2.2246153846153849</v>
      </c>
      <c r="E37" s="810"/>
      <c r="F37" s="810"/>
      <c r="G37" s="810"/>
      <c r="I37" s="828" t="s">
        <v>1137</v>
      </c>
      <c r="J37" s="848">
        <f t="shared" ref="J37:AN37" si="18">J32*$B$48</f>
        <v>510261.59070629365</v>
      </c>
      <c r="K37" s="848">
        <f t="shared" si="18"/>
        <v>520271.2927370033</v>
      </c>
      <c r="L37" s="848">
        <f t="shared" si="18"/>
        <v>530487.76525495888</v>
      </c>
      <c r="M37" s="848">
        <f t="shared" si="18"/>
        <v>540915.52153352904</v>
      </c>
      <c r="N37" s="848">
        <f t="shared" si="18"/>
        <v>551559.17870133452</v>
      </c>
      <c r="O37" s="848">
        <f t="shared" si="18"/>
        <v>562423.46024365944</v>
      </c>
      <c r="P37" s="848">
        <f t="shared" si="18"/>
        <v>573513.19856632198</v>
      </c>
      <c r="Q37" s="848">
        <f t="shared" si="18"/>
        <v>584833.33762360516</v>
      </c>
      <c r="R37" s="848">
        <f t="shared" si="18"/>
        <v>596388.93561189179</v>
      </c>
      <c r="S37" s="848">
        <f t="shared" si="18"/>
        <v>608185.16773068986</v>
      </c>
      <c r="T37" s="848">
        <f t="shared" si="18"/>
        <v>620227.32901277614</v>
      </c>
      <c r="U37" s="848">
        <f t="shared" si="18"/>
        <v>632520.83722523774</v>
      </c>
      <c r="V37" s="848">
        <f t="shared" si="18"/>
        <v>645071.23584323004</v>
      </c>
      <c r="W37" s="848">
        <f t="shared" si="18"/>
        <v>657884.1970983221</v>
      </c>
      <c r="X37" s="848">
        <f t="shared" si="18"/>
        <v>670965.52510334703</v>
      </c>
      <c r="Y37" s="848">
        <f t="shared" si="18"/>
        <v>684321.15905572823</v>
      </c>
      <c r="Z37" s="848">
        <f t="shared" si="18"/>
        <v>697957.17652129917</v>
      </c>
      <c r="AA37" s="848">
        <f t="shared" si="18"/>
        <v>711879.79680068989</v>
      </c>
      <c r="AB37" s="848">
        <f t="shared" si="18"/>
        <v>726095.38438041182</v>
      </c>
      <c r="AC37" s="848">
        <f t="shared" si="18"/>
        <v>740610.45247081702</v>
      </c>
      <c r="AD37" s="848">
        <f t="shared" si="18"/>
        <v>753254.05660864012</v>
      </c>
      <c r="AE37" s="848">
        <f t="shared" si="18"/>
        <v>766129.77969802101</v>
      </c>
      <c r="AF37" s="848">
        <f t="shared" si="18"/>
        <v>779242.20280760911</v>
      </c>
      <c r="AG37" s="848">
        <f t="shared" si="18"/>
        <v>792596.00325903506</v>
      </c>
      <c r="AH37" s="848">
        <f t="shared" si="18"/>
        <v>806195.95674858068</v>
      </c>
      <c r="AI37" s="848">
        <f t="shared" si="18"/>
        <v>820046.93951719964</v>
      </c>
      <c r="AJ37" s="848">
        <f t="shared" si="18"/>
        <v>834153.93057001696</v>
      </c>
      <c r="AK37" s="848">
        <f t="shared" si="18"/>
        <v>848522.01394646021</v>
      </c>
      <c r="AL37" s="848">
        <f t="shared" si="18"/>
        <v>863156.38104220259</v>
      </c>
      <c r="AM37" s="848">
        <f t="shared" si="18"/>
        <v>878062.33298412221</v>
      </c>
      <c r="AN37" s="849">
        <f t="shared" si="18"/>
        <v>893245.28305951832</v>
      </c>
    </row>
    <row r="38" spans="1:43" x14ac:dyDescent="0.2">
      <c r="D38" s="810"/>
      <c r="E38" s="810"/>
      <c r="F38" s="810"/>
      <c r="G38" s="810"/>
      <c r="I38" s="803" t="s">
        <v>1159</v>
      </c>
      <c r="J38" s="851">
        <f t="shared" ref="J38:AN38" si="19">SUM(J36:J37)</f>
        <v>1438382.5071923076</v>
      </c>
      <c r="K38" s="851">
        <f t="shared" si="19"/>
        <v>1466598.976088685</v>
      </c>
      <c r="L38" s="851">
        <f t="shared" si="19"/>
        <v>1495398.3127871368</v>
      </c>
      <c r="M38" s="851">
        <f t="shared" si="19"/>
        <v>1524793.2398079981</v>
      </c>
      <c r="N38" s="851">
        <f t="shared" si="19"/>
        <v>1554796.7724304167</v>
      </c>
      <c r="O38" s="851">
        <f t="shared" si="19"/>
        <v>1585422.2257436118</v>
      </c>
      <c r="P38" s="851">
        <f t="shared" si="19"/>
        <v>1616683.2218742017</v>
      </c>
      <c r="Q38" s="851">
        <f t="shared" si="19"/>
        <v>1648593.6973941056</v>
      </c>
      <c r="R38" s="851">
        <f t="shared" si="19"/>
        <v>1681167.9109136676</v>
      </c>
      <c r="S38" s="851">
        <f t="shared" si="19"/>
        <v>1714420.4508647411</v>
      </c>
      <c r="T38" s="851">
        <f t="shared" si="19"/>
        <v>1748366.2434786153</v>
      </c>
      <c r="U38" s="851">
        <f t="shared" si="19"/>
        <v>1783020.5609637969</v>
      </c>
      <c r="V38" s="851">
        <f t="shared" si="19"/>
        <v>1818399.0298887715</v>
      </c>
      <c r="W38" s="851">
        <f t="shared" si="19"/>
        <v>1854517.6397750196</v>
      </c>
      <c r="X38" s="851">
        <f t="shared" si="19"/>
        <v>1891392.7519056979</v>
      </c>
      <c r="Y38" s="851">
        <f t="shared" si="19"/>
        <v>1929041.1083555298</v>
      </c>
      <c r="Z38" s="851">
        <f t="shared" si="19"/>
        <v>1967479.8412476075</v>
      </c>
      <c r="AA38" s="851">
        <f t="shared" si="19"/>
        <v>2006726.4822429391</v>
      </c>
      <c r="AB38" s="851">
        <f t="shared" si="19"/>
        <v>2046798.9722687493</v>
      </c>
      <c r="AC38" s="851">
        <f t="shared" si="19"/>
        <v>2087715.6714916807</v>
      </c>
      <c r="AD38" s="851">
        <f t="shared" si="19"/>
        <v>2123356.8785724174</v>
      </c>
      <c r="AE38" s="851">
        <f t="shared" si="19"/>
        <v>2159652.4085447644</v>
      </c>
      <c r="AF38" s="851">
        <f t="shared" si="19"/>
        <v>2196615.1750379838</v>
      </c>
      <c r="AG38" s="851">
        <f t="shared" si="19"/>
        <v>2234258.3630100214</v>
      </c>
      <c r="AH38" s="851">
        <f t="shared" si="19"/>
        <v>2272595.434728303</v>
      </c>
      <c r="AI38" s="851">
        <f t="shared" si="19"/>
        <v>2311640.1358868331</v>
      </c>
      <c r="AJ38" s="851">
        <f t="shared" si="19"/>
        <v>2351406.5018627709</v>
      </c>
      <c r="AK38" s="851">
        <f t="shared" si="19"/>
        <v>2391908.8641157285</v>
      </c>
      <c r="AL38" s="851">
        <f t="shared" si="19"/>
        <v>2433161.8567331224</v>
      </c>
      <c r="AM38" s="851">
        <f t="shared" si="19"/>
        <v>2475180.4231249788</v>
      </c>
      <c r="AN38" s="852">
        <f t="shared" si="19"/>
        <v>2517979.8228716752</v>
      </c>
    </row>
    <row r="39" spans="1:43" x14ac:dyDescent="0.2">
      <c r="D39" s="810"/>
      <c r="E39" s="810"/>
      <c r="F39" s="810"/>
    </row>
    <row r="40" spans="1:43" x14ac:dyDescent="0.2">
      <c r="D40" s="810"/>
      <c r="E40" s="810"/>
      <c r="F40" s="810"/>
    </row>
    <row r="41" spans="1:43" x14ac:dyDescent="0.2">
      <c r="D41" s="930">
        <f>D36-D37</f>
        <v>0.40447552447552448</v>
      </c>
      <c r="E41" s="810"/>
      <c r="F41" s="810"/>
    </row>
    <row r="42" spans="1:43" x14ac:dyDescent="0.2">
      <c r="D42" s="810">
        <f>D41*60*60</f>
        <v>1456.1118881118882</v>
      </c>
      <c r="E42" s="810"/>
      <c r="F42" s="810"/>
    </row>
    <row r="43" spans="1:43" x14ac:dyDescent="0.2">
      <c r="D43" s="810"/>
      <c r="E43" s="810"/>
      <c r="F43" s="810"/>
    </row>
    <row r="45" spans="1:43" x14ac:dyDescent="0.2">
      <c r="A45" s="811" t="s">
        <v>1152</v>
      </c>
      <c r="C45" s="810"/>
    </row>
    <row r="46" spans="1:43" x14ac:dyDescent="0.2">
      <c r="A46" s="821"/>
      <c r="B46" s="850" t="s">
        <v>392</v>
      </c>
      <c r="C46" s="810"/>
    </row>
    <row r="47" spans="1:43" x14ac:dyDescent="0.2">
      <c r="A47" s="826" t="s">
        <v>1155</v>
      </c>
      <c r="B47" s="927">
        <v>12.9</v>
      </c>
      <c r="C47" s="891" t="s">
        <v>1229</v>
      </c>
    </row>
    <row r="48" spans="1:43" x14ac:dyDescent="0.2">
      <c r="A48" s="829" t="s">
        <v>1137</v>
      </c>
      <c r="B48" s="928">
        <v>26.68</v>
      </c>
      <c r="C48" s="891" t="s">
        <v>1229</v>
      </c>
    </row>
    <row r="49" spans="1:3" x14ac:dyDescent="0.2">
      <c r="A49" s="853" t="s">
        <v>1230</v>
      </c>
      <c r="B49" s="853"/>
      <c r="C49" s="810"/>
    </row>
    <row r="50" spans="1:3" x14ac:dyDescent="0.2">
      <c r="A50" s="809"/>
      <c r="B50" s="809"/>
      <c r="C50" s="810"/>
    </row>
    <row r="51" spans="1:3" x14ac:dyDescent="0.2">
      <c r="A51" s="890" t="s">
        <v>1157</v>
      </c>
      <c r="B51" s="891"/>
      <c r="C51" s="891"/>
    </row>
    <row r="52" spans="1:3" x14ac:dyDescent="0.2">
      <c r="A52" s="892" t="s">
        <v>1158</v>
      </c>
      <c r="B52" s="893"/>
      <c r="C52" s="894" t="s">
        <v>137</v>
      </c>
    </row>
    <row r="53" spans="1:3" x14ac:dyDescent="0.2">
      <c r="A53" s="895" t="s">
        <v>1136</v>
      </c>
      <c r="B53" s="896">
        <v>2.0000000000000001E-4</v>
      </c>
      <c r="C53" s="897" t="s">
        <v>1160</v>
      </c>
    </row>
    <row r="54" spans="1:3" x14ac:dyDescent="0.2">
      <c r="A54" s="895" t="s">
        <v>1137</v>
      </c>
      <c r="B54" s="896">
        <v>1.17E-2</v>
      </c>
      <c r="C54" s="897" t="s">
        <v>1160</v>
      </c>
    </row>
    <row r="55" spans="1:3" x14ac:dyDescent="0.2">
      <c r="A55" s="898" t="s">
        <v>1161</v>
      </c>
      <c r="B55" s="891"/>
      <c r="C55" s="899"/>
    </row>
    <row r="56" spans="1:3" x14ac:dyDescent="0.2">
      <c r="A56" s="895" t="s">
        <v>1162</v>
      </c>
      <c r="B56" s="896">
        <f>1.15^(1/30)-1</f>
        <v>4.6696001733501635E-3</v>
      </c>
      <c r="C56" s="900" t="s">
        <v>1163</v>
      </c>
    </row>
    <row r="57" spans="1:3" x14ac:dyDescent="0.2">
      <c r="A57" s="901" t="s">
        <v>1164</v>
      </c>
      <c r="B57" s="902">
        <f>1.15^(1/30)-1</f>
        <v>4.6696001733501635E-3</v>
      </c>
      <c r="C57" s="903" t="s">
        <v>1163</v>
      </c>
    </row>
    <row r="66" spans="1:11" x14ac:dyDescent="0.2">
      <c r="K66" s="791"/>
    </row>
    <row r="67" spans="1:11" x14ac:dyDescent="0.2">
      <c r="K67" s="791"/>
    </row>
    <row r="68" spans="1:11" x14ac:dyDescent="0.2">
      <c r="K68" s="791"/>
    </row>
    <row r="69" spans="1:11" x14ac:dyDescent="0.2">
      <c r="A69" s="799" t="s">
        <v>1167</v>
      </c>
      <c r="B69" s="855"/>
      <c r="C69" s="856"/>
      <c r="K69" s="791"/>
    </row>
    <row r="70" spans="1:11" x14ac:dyDescent="0.2">
      <c r="A70" s="800"/>
      <c r="B70" s="796" t="s">
        <v>1169</v>
      </c>
      <c r="C70" s="857">
        <v>2046</v>
      </c>
      <c r="K70" s="791"/>
    </row>
    <row r="71" spans="1:11" x14ac:dyDescent="0.2">
      <c r="A71" s="800" t="s">
        <v>415</v>
      </c>
      <c r="B71" s="859">
        <v>27000</v>
      </c>
      <c r="C71" s="860">
        <v>43200</v>
      </c>
      <c r="K71" s="791"/>
    </row>
    <row r="72" spans="1:11" x14ac:dyDescent="0.2">
      <c r="A72" s="803" t="s">
        <v>1134</v>
      </c>
      <c r="B72" s="861">
        <v>0.21</v>
      </c>
      <c r="C72" s="862">
        <v>0.21</v>
      </c>
      <c r="K72" s="791"/>
    </row>
    <row r="73" spans="1:11" x14ac:dyDescent="0.2">
      <c r="A73" s="854" t="s">
        <v>1165</v>
      </c>
      <c r="B73" s="854"/>
      <c r="C73" s="796"/>
      <c r="K73" s="791"/>
    </row>
    <row r="74" spans="1:11" x14ac:dyDescent="0.2">
      <c r="K74" s="791"/>
    </row>
    <row r="75" spans="1:11" x14ac:dyDescent="0.2">
      <c r="A75" s="799" t="s">
        <v>1168</v>
      </c>
      <c r="B75" s="855"/>
      <c r="C75" s="856"/>
      <c r="K75" s="791"/>
    </row>
    <row r="76" spans="1:11" x14ac:dyDescent="0.2">
      <c r="A76" s="800"/>
      <c r="B76" s="796" t="s">
        <v>1169</v>
      </c>
      <c r="C76" s="857">
        <v>2046</v>
      </c>
      <c r="K76" s="791"/>
    </row>
    <row r="77" spans="1:11" x14ac:dyDescent="0.2">
      <c r="A77" s="800" t="s">
        <v>415</v>
      </c>
      <c r="B77" s="859">
        <v>29000</v>
      </c>
      <c r="C77" s="860">
        <v>46400</v>
      </c>
      <c r="K77" s="791"/>
    </row>
    <row r="78" spans="1:11" x14ac:dyDescent="0.2">
      <c r="A78" s="803" t="s">
        <v>1134</v>
      </c>
      <c r="B78" s="861">
        <v>0.2</v>
      </c>
      <c r="C78" s="862">
        <v>0.2</v>
      </c>
      <c r="K78" s="791"/>
    </row>
    <row r="79" spans="1:11" x14ac:dyDescent="0.2">
      <c r="A79" s="854" t="s">
        <v>1165</v>
      </c>
      <c r="B79" s="854"/>
      <c r="C79" s="796"/>
    </row>
    <row r="81" spans="1:3" x14ac:dyDescent="0.2">
      <c r="A81" s="799" t="s">
        <v>1170</v>
      </c>
      <c r="B81" s="855"/>
      <c r="C81" s="856"/>
    </row>
    <row r="82" spans="1:3" x14ac:dyDescent="0.2">
      <c r="A82" s="800"/>
      <c r="B82" s="796" t="s">
        <v>1169</v>
      </c>
      <c r="C82" s="857">
        <v>2046</v>
      </c>
    </row>
    <row r="83" spans="1:3" x14ac:dyDescent="0.2">
      <c r="A83" s="800" t="s">
        <v>415</v>
      </c>
      <c r="B83" s="859">
        <v>29000</v>
      </c>
      <c r="C83" s="860">
        <v>46400</v>
      </c>
    </row>
    <row r="84" spans="1:3" x14ac:dyDescent="0.2">
      <c r="A84" s="803" t="s">
        <v>1134</v>
      </c>
      <c r="B84" s="861">
        <v>0.2</v>
      </c>
      <c r="C84" s="862">
        <v>0.2</v>
      </c>
    </row>
    <row r="85" spans="1:3" x14ac:dyDescent="0.2">
      <c r="A85" s="854" t="s">
        <v>1165</v>
      </c>
      <c r="B85" s="854"/>
      <c r="C85" s="796"/>
    </row>
    <row r="116" spans="9:43" x14ac:dyDescent="0.2">
      <c r="I116" s="801"/>
      <c r="J116" s="802">
        <v>2016</v>
      </c>
      <c r="K116" s="802">
        <f>J116+1</f>
        <v>2017</v>
      </c>
      <c r="L116" s="802">
        <f t="shared" ref="L116:AQ116" si="20">K116+1</f>
        <v>2018</v>
      </c>
      <c r="M116" s="802">
        <f t="shared" si="20"/>
        <v>2019</v>
      </c>
      <c r="N116" s="802">
        <f t="shared" si="20"/>
        <v>2020</v>
      </c>
      <c r="O116" s="802">
        <f t="shared" si="20"/>
        <v>2021</v>
      </c>
      <c r="P116" s="802">
        <f t="shared" si="20"/>
        <v>2022</v>
      </c>
      <c r="Q116" s="802">
        <f t="shared" si="20"/>
        <v>2023</v>
      </c>
      <c r="R116" s="802">
        <f t="shared" si="20"/>
        <v>2024</v>
      </c>
      <c r="S116" s="802">
        <f t="shared" si="20"/>
        <v>2025</v>
      </c>
      <c r="T116" s="802">
        <f t="shared" si="20"/>
        <v>2026</v>
      </c>
      <c r="U116" s="802">
        <f t="shared" si="20"/>
        <v>2027</v>
      </c>
      <c r="V116" s="802">
        <f t="shared" si="20"/>
        <v>2028</v>
      </c>
      <c r="W116" s="802">
        <f t="shared" si="20"/>
        <v>2029</v>
      </c>
      <c r="X116" s="802">
        <f t="shared" si="20"/>
        <v>2030</v>
      </c>
      <c r="Y116" s="802">
        <f t="shared" si="20"/>
        <v>2031</v>
      </c>
      <c r="Z116" s="802">
        <f t="shared" si="20"/>
        <v>2032</v>
      </c>
      <c r="AA116" s="802">
        <f t="shared" si="20"/>
        <v>2033</v>
      </c>
      <c r="AB116" s="802">
        <f t="shared" si="20"/>
        <v>2034</v>
      </c>
      <c r="AC116" s="802">
        <f t="shared" si="20"/>
        <v>2035</v>
      </c>
      <c r="AD116" s="802">
        <f t="shared" si="20"/>
        <v>2036</v>
      </c>
      <c r="AE116" s="802">
        <f t="shared" si="20"/>
        <v>2037</v>
      </c>
      <c r="AF116" s="802">
        <f t="shared" si="20"/>
        <v>2038</v>
      </c>
      <c r="AG116" s="802">
        <f t="shared" si="20"/>
        <v>2039</v>
      </c>
      <c r="AH116" s="802">
        <f t="shared" si="20"/>
        <v>2040</v>
      </c>
      <c r="AI116" s="802">
        <f t="shared" si="20"/>
        <v>2041</v>
      </c>
      <c r="AJ116" s="802">
        <f t="shared" si="20"/>
        <v>2042</v>
      </c>
      <c r="AK116" s="802">
        <f t="shared" si="20"/>
        <v>2043</v>
      </c>
      <c r="AL116" s="802">
        <f t="shared" si="20"/>
        <v>2044</v>
      </c>
      <c r="AM116" s="802">
        <f t="shared" si="20"/>
        <v>2045</v>
      </c>
      <c r="AN116" s="865">
        <f t="shared" si="20"/>
        <v>2046</v>
      </c>
      <c r="AO116" s="802">
        <f t="shared" si="20"/>
        <v>2047</v>
      </c>
      <c r="AP116" s="802">
        <f t="shared" si="20"/>
        <v>2048</v>
      </c>
      <c r="AQ116" s="802">
        <f t="shared" si="20"/>
        <v>2049</v>
      </c>
    </row>
    <row r="117" spans="9:43" x14ac:dyDescent="0.2">
      <c r="I117" s="804" t="s">
        <v>1135</v>
      </c>
      <c r="J117" s="805">
        <f>$B$8</f>
        <v>27000</v>
      </c>
      <c r="K117" s="805"/>
      <c r="L117" s="805"/>
      <c r="M117" s="805"/>
      <c r="N117" s="805"/>
      <c r="O117" s="805"/>
      <c r="P117" s="805"/>
      <c r="Q117" s="805"/>
      <c r="R117" s="805"/>
      <c r="S117" s="805"/>
      <c r="T117" s="805"/>
      <c r="U117" s="805"/>
      <c r="V117" s="805"/>
      <c r="W117" s="805"/>
      <c r="X117" s="805"/>
      <c r="Y117" s="805"/>
      <c r="Z117" s="805"/>
      <c r="AA117" s="805"/>
      <c r="AB117" s="805"/>
      <c r="AC117" s="805">
        <v>37100</v>
      </c>
      <c r="AD117" s="805"/>
      <c r="AE117" s="805"/>
      <c r="AF117" s="805"/>
      <c r="AG117" s="805"/>
      <c r="AH117" s="805"/>
      <c r="AI117" s="805"/>
      <c r="AJ117" s="805"/>
      <c r="AK117" s="805"/>
      <c r="AL117" s="805"/>
      <c r="AM117" s="805"/>
      <c r="AN117" s="807">
        <f>$C$8</f>
        <v>43200</v>
      </c>
      <c r="AO117" s="805"/>
      <c r="AP117" s="805"/>
      <c r="AQ117" s="806"/>
    </row>
    <row r="118" spans="9:43" x14ac:dyDescent="0.2">
      <c r="I118" s="804" t="s">
        <v>1136</v>
      </c>
      <c r="J118" s="805">
        <f>B23*(1-B24)</f>
        <v>0.3125</v>
      </c>
      <c r="K118" s="807">
        <f t="shared" ref="K118:AQ118" si="21">J118*(1+$B$53)</f>
        <v>0.31256249999999997</v>
      </c>
      <c r="L118" s="807">
        <f t="shared" si="21"/>
        <v>0.31262501249999997</v>
      </c>
      <c r="M118" s="807">
        <f t="shared" si="21"/>
        <v>0.31268753750249995</v>
      </c>
      <c r="N118" s="807">
        <f t="shared" si="21"/>
        <v>0.31275007501000046</v>
      </c>
      <c r="O118" s="807">
        <f t="shared" si="21"/>
        <v>0.31281262502500246</v>
      </c>
      <c r="P118" s="807">
        <f t="shared" si="21"/>
        <v>0.31287518755000743</v>
      </c>
      <c r="Q118" s="807">
        <f t="shared" si="21"/>
        <v>0.31293776258751743</v>
      </c>
      <c r="R118" s="807">
        <f t="shared" si="21"/>
        <v>0.31300035014003491</v>
      </c>
      <c r="S118" s="807">
        <f t="shared" si="21"/>
        <v>0.31306295021006292</v>
      </c>
      <c r="T118" s="807">
        <f t="shared" si="21"/>
        <v>0.31312556280010495</v>
      </c>
      <c r="U118" s="807">
        <f t="shared" si="21"/>
        <v>0.31318818791266495</v>
      </c>
      <c r="V118" s="807">
        <f t="shared" si="21"/>
        <v>0.31325082555024747</v>
      </c>
      <c r="W118" s="807">
        <f t="shared" si="21"/>
        <v>0.3133134757153575</v>
      </c>
      <c r="X118" s="807">
        <f t="shared" si="21"/>
        <v>0.31337613841050055</v>
      </c>
      <c r="Y118" s="807">
        <f t="shared" si="21"/>
        <v>0.31343881363818266</v>
      </c>
      <c r="Z118" s="807">
        <f t="shared" si="21"/>
        <v>0.31350150140091027</v>
      </c>
      <c r="AA118" s="807">
        <f t="shared" si="21"/>
        <v>0.31356420170119043</v>
      </c>
      <c r="AB118" s="807">
        <f t="shared" si="21"/>
        <v>0.31362691454153063</v>
      </c>
      <c r="AC118" s="807">
        <f t="shared" si="21"/>
        <v>0.31368963992443893</v>
      </c>
      <c r="AD118" s="807">
        <f t="shared" si="21"/>
        <v>0.31375237785242382</v>
      </c>
      <c r="AE118" s="807">
        <f t="shared" si="21"/>
        <v>0.3138151283279943</v>
      </c>
      <c r="AF118" s="807">
        <f t="shared" si="21"/>
        <v>0.3138778913536599</v>
      </c>
      <c r="AG118" s="807">
        <f t="shared" si="21"/>
        <v>0.31394066693193062</v>
      </c>
      <c r="AH118" s="807">
        <f t="shared" si="21"/>
        <v>0.31400345506531702</v>
      </c>
      <c r="AI118" s="807">
        <f t="shared" si="21"/>
        <v>0.31406625575633007</v>
      </c>
      <c r="AJ118" s="807">
        <f t="shared" si="21"/>
        <v>0.31412906900748133</v>
      </c>
      <c r="AK118" s="807">
        <f t="shared" si="21"/>
        <v>0.31419189482128285</v>
      </c>
      <c r="AL118" s="807">
        <f t="shared" si="21"/>
        <v>0.3142547332002471</v>
      </c>
      <c r="AM118" s="807">
        <f t="shared" si="21"/>
        <v>0.31431758414688715</v>
      </c>
      <c r="AN118" s="807">
        <f t="shared" si="21"/>
        <v>0.31438044766371653</v>
      </c>
      <c r="AO118" s="807">
        <f t="shared" si="21"/>
        <v>0.31444332375324929</v>
      </c>
      <c r="AP118" s="807">
        <f t="shared" si="21"/>
        <v>0.31450621241799992</v>
      </c>
      <c r="AQ118" s="808">
        <f t="shared" si="21"/>
        <v>0.31456911366048351</v>
      </c>
    </row>
    <row r="119" spans="9:43" x14ac:dyDescent="0.2">
      <c r="I119" s="804" t="s">
        <v>1137</v>
      </c>
      <c r="J119" s="805">
        <f>B23*B24</f>
        <v>0</v>
      </c>
      <c r="K119" s="807">
        <f t="shared" ref="K119:AQ119" si="22">J119*(1+$B$54)</f>
        <v>0</v>
      </c>
      <c r="L119" s="807">
        <f t="shared" si="22"/>
        <v>0</v>
      </c>
      <c r="M119" s="807">
        <f t="shared" si="22"/>
        <v>0</v>
      </c>
      <c r="N119" s="807">
        <f t="shared" si="22"/>
        <v>0</v>
      </c>
      <c r="O119" s="807">
        <f t="shared" si="22"/>
        <v>0</v>
      </c>
      <c r="P119" s="807">
        <f t="shared" si="22"/>
        <v>0</v>
      </c>
      <c r="Q119" s="807">
        <f t="shared" si="22"/>
        <v>0</v>
      </c>
      <c r="R119" s="807">
        <f t="shared" si="22"/>
        <v>0</v>
      </c>
      <c r="S119" s="807">
        <f t="shared" si="22"/>
        <v>0</v>
      </c>
      <c r="T119" s="807">
        <f t="shared" si="22"/>
        <v>0</v>
      </c>
      <c r="U119" s="807">
        <f t="shared" si="22"/>
        <v>0</v>
      </c>
      <c r="V119" s="807">
        <f t="shared" si="22"/>
        <v>0</v>
      </c>
      <c r="W119" s="807">
        <f t="shared" si="22"/>
        <v>0</v>
      </c>
      <c r="X119" s="807">
        <f t="shared" si="22"/>
        <v>0</v>
      </c>
      <c r="Y119" s="807">
        <f t="shared" si="22"/>
        <v>0</v>
      </c>
      <c r="Z119" s="807">
        <f t="shared" si="22"/>
        <v>0</v>
      </c>
      <c r="AA119" s="807">
        <f t="shared" si="22"/>
        <v>0</v>
      </c>
      <c r="AB119" s="807">
        <f t="shared" si="22"/>
        <v>0</v>
      </c>
      <c r="AC119" s="807">
        <f t="shared" si="22"/>
        <v>0</v>
      </c>
      <c r="AD119" s="807">
        <f t="shared" si="22"/>
        <v>0</v>
      </c>
      <c r="AE119" s="807">
        <f t="shared" si="22"/>
        <v>0</v>
      </c>
      <c r="AF119" s="807">
        <f t="shared" si="22"/>
        <v>0</v>
      </c>
      <c r="AG119" s="807">
        <f t="shared" si="22"/>
        <v>0</v>
      </c>
      <c r="AH119" s="807">
        <f t="shared" si="22"/>
        <v>0</v>
      </c>
      <c r="AI119" s="807">
        <f t="shared" si="22"/>
        <v>0</v>
      </c>
      <c r="AJ119" s="807">
        <f t="shared" si="22"/>
        <v>0</v>
      </c>
      <c r="AK119" s="807">
        <f t="shared" si="22"/>
        <v>0</v>
      </c>
      <c r="AL119" s="807">
        <f t="shared" si="22"/>
        <v>0</v>
      </c>
      <c r="AM119" s="807">
        <f t="shared" si="22"/>
        <v>0</v>
      </c>
      <c r="AN119" s="807">
        <f t="shared" si="22"/>
        <v>0</v>
      </c>
      <c r="AO119" s="807">
        <f t="shared" si="22"/>
        <v>0</v>
      </c>
      <c r="AP119" s="807">
        <f t="shared" si="22"/>
        <v>0</v>
      </c>
      <c r="AQ119" s="808">
        <f t="shared" si="22"/>
        <v>0</v>
      </c>
    </row>
    <row r="120" spans="9:43" x14ac:dyDescent="0.2">
      <c r="I120" s="804"/>
      <c r="J120" s="805"/>
      <c r="K120" s="807"/>
      <c r="L120" s="807"/>
      <c r="M120" s="807"/>
      <c r="N120" s="807"/>
      <c r="O120" s="807"/>
      <c r="P120" s="807"/>
      <c r="Q120" s="807"/>
      <c r="R120" s="807"/>
      <c r="S120" s="807"/>
      <c r="T120" s="807"/>
      <c r="U120" s="807"/>
      <c r="V120" s="807"/>
      <c r="W120" s="807"/>
      <c r="X120" s="807"/>
      <c r="Y120" s="807"/>
      <c r="Z120" s="807"/>
      <c r="AA120" s="807"/>
      <c r="AB120" s="807"/>
      <c r="AC120" s="807"/>
      <c r="AD120" s="807"/>
      <c r="AE120" s="807"/>
      <c r="AF120" s="807"/>
      <c r="AG120" s="807"/>
      <c r="AH120" s="807"/>
      <c r="AI120" s="807"/>
      <c r="AJ120" s="807"/>
      <c r="AK120" s="807"/>
      <c r="AL120" s="807"/>
      <c r="AM120" s="807"/>
      <c r="AN120" s="807"/>
      <c r="AO120" s="807"/>
      <c r="AP120" s="807"/>
      <c r="AQ120" s="808"/>
    </row>
    <row r="121" spans="9:43" x14ac:dyDescent="0.2">
      <c r="I121" s="804" t="s">
        <v>1139</v>
      </c>
      <c r="J121" s="805">
        <v>120</v>
      </c>
      <c r="K121" s="807">
        <f t="shared" ref="K121:AQ121" si="23">J121*(1+$B$30)</f>
        <v>121.2</v>
      </c>
      <c r="L121" s="807">
        <f t="shared" si="23"/>
        <v>122.41200000000001</v>
      </c>
      <c r="M121" s="807">
        <f t="shared" si="23"/>
        <v>123.63612000000001</v>
      </c>
      <c r="N121" s="807">
        <f t="shared" si="23"/>
        <v>124.87248120000001</v>
      </c>
      <c r="O121" s="807">
        <f t="shared" si="23"/>
        <v>126.12120601200002</v>
      </c>
      <c r="P121" s="807">
        <f t="shared" si="23"/>
        <v>127.38241807212002</v>
      </c>
      <c r="Q121" s="807">
        <f t="shared" si="23"/>
        <v>128.65624225284122</v>
      </c>
      <c r="R121" s="807">
        <f t="shared" si="23"/>
        <v>129.94280467536964</v>
      </c>
      <c r="S121" s="807">
        <f t="shared" si="23"/>
        <v>131.24223272212333</v>
      </c>
      <c r="T121" s="807">
        <f t="shared" si="23"/>
        <v>132.55465504934457</v>
      </c>
      <c r="U121" s="807">
        <f t="shared" si="23"/>
        <v>133.88020159983802</v>
      </c>
      <c r="V121" s="807">
        <f t="shared" si="23"/>
        <v>135.21900361583639</v>
      </c>
      <c r="W121" s="807">
        <f t="shared" si="23"/>
        <v>136.57119365199475</v>
      </c>
      <c r="X121" s="807">
        <f t="shared" si="23"/>
        <v>137.93690558851469</v>
      </c>
      <c r="Y121" s="807">
        <f t="shared" si="23"/>
        <v>139.31627464439984</v>
      </c>
      <c r="Z121" s="807">
        <f t="shared" si="23"/>
        <v>140.70943739084385</v>
      </c>
      <c r="AA121" s="807">
        <f t="shared" si="23"/>
        <v>142.1165317647523</v>
      </c>
      <c r="AB121" s="807">
        <f t="shared" si="23"/>
        <v>143.53769708239983</v>
      </c>
      <c r="AC121" s="807">
        <f t="shared" si="23"/>
        <v>144.97307405322383</v>
      </c>
      <c r="AD121" s="807">
        <f t="shared" si="23"/>
        <v>146.42280479375606</v>
      </c>
      <c r="AE121" s="807">
        <f t="shared" si="23"/>
        <v>147.88703284169361</v>
      </c>
      <c r="AF121" s="807">
        <f t="shared" si="23"/>
        <v>149.36590317011056</v>
      </c>
      <c r="AG121" s="807">
        <f t="shared" si="23"/>
        <v>150.85956220181166</v>
      </c>
      <c r="AH121" s="807">
        <f t="shared" si="23"/>
        <v>152.36815782382976</v>
      </c>
      <c r="AI121" s="807">
        <f t="shared" si="23"/>
        <v>153.89183940206806</v>
      </c>
      <c r="AJ121" s="807">
        <f t="shared" si="23"/>
        <v>155.43075779608873</v>
      </c>
      <c r="AK121" s="807">
        <f t="shared" si="23"/>
        <v>156.98506537404961</v>
      </c>
      <c r="AL121" s="807">
        <f t="shared" si="23"/>
        <v>158.55491602779011</v>
      </c>
      <c r="AM121" s="807">
        <f t="shared" si="23"/>
        <v>160.14046518806802</v>
      </c>
      <c r="AN121" s="807">
        <f t="shared" si="23"/>
        <v>161.74186983994869</v>
      </c>
      <c r="AO121" s="807">
        <f t="shared" si="23"/>
        <v>163.35928853834818</v>
      </c>
      <c r="AP121" s="807">
        <f t="shared" si="23"/>
        <v>164.99288142373166</v>
      </c>
      <c r="AQ121" s="808">
        <f t="shared" si="23"/>
        <v>166.64281023796897</v>
      </c>
    </row>
    <row r="122" spans="9:43" x14ac:dyDescent="0.2">
      <c r="I122" s="804" t="s">
        <v>1140</v>
      </c>
      <c r="J122" s="807">
        <f>$E$15</f>
        <v>900</v>
      </c>
      <c r="K122" s="807">
        <f t="shared" ref="K122:AQ122" si="24">J122*(1+$B$30)</f>
        <v>909</v>
      </c>
      <c r="L122" s="807">
        <f t="shared" si="24"/>
        <v>918.09</v>
      </c>
      <c r="M122" s="807">
        <f t="shared" si="24"/>
        <v>927.2709000000001</v>
      </c>
      <c r="N122" s="807">
        <f t="shared" si="24"/>
        <v>936.54360900000006</v>
      </c>
      <c r="O122" s="807">
        <f t="shared" si="24"/>
        <v>945.90904509000006</v>
      </c>
      <c r="P122" s="807">
        <f t="shared" si="24"/>
        <v>955.36813554090008</v>
      </c>
      <c r="Q122" s="807">
        <f t="shared" si="24"/>
        <v>964.92181689630911</v>
      </c>
      <c r="R122" s="807">
        <f t="shared" si="24"/>
        <v>974.57103506527221</v>
      </c>
      <c r="S122" s="807">
        <f t="shared" si="24"/>
        <v>984.31674541592497</v>
      </c>
      <c r="T122" s="807">
        <f t="shared" si="24"/>
        <v>994.15991287008421</v>
      </c>
      <c r="U122" s="807">
        <f t="shared" si="24"/>
        <v>1004.1015119987851</v>
      </c>
      <c r="V122" s="807">
        <f t="shared" si="24"/>
        <v>1014.1425271187729</v>
      </c>
      <c r="W122" s="807">
        <f t="shared" si="24"/>
        <v>1024.2839523899606</v>
      </c>
      <c r="X122" s="807">
        <f t="shared" si="24"/>
        <v>1034.5267919138603</v>
      </c>
      <c r="Y122" s="807">
        <f t="shared" si="24"/>
        <v>1044.872059832999</v>
      </c>
      <c r="Z122" s="807">
        <f t="shared" si="24"/>
        <v>1055.320780431329</v>
      </c>
      <c r="AA122" s="807">
        <f t="shared" si="24"/>
        <v>1065.8739882356424</v>
      </c>
      <c r="AB122" s="807">
        <f t="shared" si="24"/>
        <v>1076.5327281179989</v>
      </c>
      <c r="AC122" s="807">
        <f t="shared" si="24"/>
        <v>1087.2980553991788</v>
      </c>
      <c r="AD122" s="807">
        <f t="shared" si="24"/>
        <v>1098.1710359531705</v>
      </c>
      <c r="AE122" s="807">
        <f t="shared" si="24"/>
        <v>1109.1527463127022</v>
      </c>
      <c r="AF122" s="807">
        <f t="shared" si="24"/>
        <v>1120.2442737758292</v>
      </c>
      <c r="AG122" s="807">
        <f t="shared" si="24"/>
        <v>1131.4467165135875</v>
      </c>
      <c r="AH122" s="807">
        <f t="shared" si="24"/>
        <v>1142.7611836787235</v>
      </c>
      <c r="AI122" s="807">
        <f t="shared" si="24"/>
        <v>1154.1887955155107</v>
      </c>
      <c r="AJ122" s="807">
        <f t="shared" si="24"/>
        <v>1165.7306834706658</v>
      </c>
      <c r="AK122" s="807">
        <f t="shared" si="24"/>
        <v>1177.3879903053723</v>
      </c>
      <c r="AL122" s="807">
        <f t="shared" si="24"/>
        <v>1189.1618702084261</v>
      </c>
      <c r="AM122" s="807">
        <f t="shared" si="24"/>
        <v>1201.0534889105104</v>
      </c>
      <c r="AN122" s="807">
        <f t="shared" si="24"/>
        <v>1213.0640237996156</v>
      </c>
      <c r="AO122" s="807">
        <f t="shared" si="24"/>
        <v>1225.1946640376118</v>
      </c>
      <c r="AP122" s="807">
        <f t="shared" si="24"/>
        <v>1237.446610677988</v>
      </c>
      <c r="AQ122" s="808">
        <f t="shared" si="24"/>
        <v>1249.8210767847679</v>
      </c>
    </row>
    <row r="123" spans="9:43" x14ac:dyDescent="0.2">
      <c r="I123" s="804" t="s">
        <v>1138</v>
      </c>
      <c r="J123" s="816">
        <f>J122/(60*60*24)</f>
        <v>1.0416666666666666E-2</v>
      </c>
      <c r="K123" s="816">
        <f t="shared" ref="K123:AQ123" si="25">K122/(60*60*24)</f>
        <v>1.0520833333333333E-2</v>
      </c>
      <c r="L123" s="816">
        <f t="shared" si="25"/>
        <v>1.0626041666666667E-2</v>
      </c>
      <c r="M123" s="816">
        <f t="shared" si="25"/>
        <v>1.0732302083333334E-2</v>
      </c>
      <c r="N123" s="816">
        <f t="shared" si="25"/>
        <v>1.0839625104166667E-2</v>
      </c>
      <c r="O123" s="816">
        <f t="shared" si="25"/>
        <v>1.0948021355208334E-2</v>
      </c>
      <c r="P123" s="816">
        <f t="shared" si="25"/>
        <v>1.1057501568760418E-2</v>
      </c>
      <c r="Q123" s="816">
        <f t="shared" si="25"/>
        <v>1.1168076584448022E-2</v>
      </c>
      <c r="R123" s="816">
        <f t="shared" si="25"/>
        <v>1.1279757350292503E-2</v>
      </c>
      <c r="S123" s="816">
        <f t="shared" si="25"/>
        <v>1.1392554923795428E-2</v>
      </c>
      <c r="T123" s="816">
        <f t="shared" si="25"/>
        <v>1.1506480473033383E-2</v>
      </c>
      <c r="U123" s="816">
        <f t="shared" si="25"/>
        <v>1.1621545277763717E-2</v>
      </c>
      <c r="V123" s="816">
        <f t="shared" si="25"/>
        <v>1.1737760730541353E-2</v>
      </c>
      <c r="W123" s="816">
        <f t="shared" si="25"/>
        <v>1.1855138337846767E-2</v>
      </c>
      <c r="X123" s="816">
        <f t="shared" si="25"/>
        <v>1.1973689721225235E-2</v>
      </c>
      <c r="Y123" s="816">
        <f t="shared" si="25"/>
        <v>1.2093426618437488E-2</v>
      </c>
      <c r="Z123" s="816">
        <f t="shared" si="25"/>
        <v>1.2214360884621864E-2</v>
      </c>
      <c r="AA123" s="816">
        <f t="shared" si="25"/>
        <v>1.2336504493468084E-2</v>
      </c>
      <c r="AB123" s="816">
        <f t="shared" si="25"/>
        <v>1.2459869538402765E-2</v>
      </c>
      <c r="AC123" s="816">
        <f t="shared" si="25"/>
        <v>1.2584468233786792E-2</v>
      </c>
      <c r="AD123" s="816">
        <f t="shared" si="25"/>
        <v>1.2710312916124658E-2</v>
      </c>
      <c r="AE123" s="816">
        <f t="shared" si="25"/>
        <v>1.2837416045285906E-2</v>
      </c>
      <c r="AF123" s="816">
        <f t="shared" si="25"/>
        <v>1.2965790205738764E-2</v>
      </c>
      <c r="AG123" s="816">
        <f t="shared" si="25"/>
        <v>1.3095448107796151E-2</v>
      </c>
      <c r="AH123" s="816">
        <f t="shared" si="25"/>
        <v>1.3226402588874114E-2</v>
      </c>
      <c r="AI123" s="816">
        <f t="shared" si="25"/>
        <v>1.3358666614762855E-2</v>
      </c>
      <c r="AJ123" s="816">
        <f t="shared" si="25"/>
        <v>1.3492253280910483E-2</v>
      </c>
      <c r="AK123" s="816">
        <f t="shared" si="25"/>
        <v>1.3627175813719587E-2</v>
      </c>
      <c r="AL123" s="816">
        <f t="shared" si="25"/>
        <v>1.3763447571856784E-2</v>
      </c>
      <c r="AM123" s="816">
        <f t="shared" si="25"/>
        <v>1.3901082047575352E-2</v>
      </c>
      <c r="AN123" s="816">
        <f t="shared" si="25"/>
        <v>1.4040092868051107E-2</v>
      </c>
      <c r="AO123" s="816">
        <f t="shared" si="25"/>
        <v>1.4180493796731619E-2</v>
      </c>
      <c r="AP123" s="816">
        <f t="shared" si="25"/>
        <v>1.4322298734698936E-2</v>
      </c>
      <c r="AQ123" s="817">
        <f t="shared" si="25"/>
        <v>1.4465521722045925E-2</v>
      </c>
    </row>
    <row r="124" spans="9:43" x14ac:dyDescent="0.2">
      <c r="I124" s="804"/>
      <c r="J124" s="816"/>
      <c r="K124" s="816"/>
      <c r="L124" s="816"/>
      <c r="M124" s="816"/>
      <c r="N124" s="816"/>
      <c r="O124" s="816"/>
      <c r="P124" s="816"/>
      <c r="Q124" s="816"/>
      <c r="R124" s="816"/>
      <c r="S124" s="816"/>
      <c r="T124" s="816"/>
      <c r="U124" s="816"/>
      <c r="V124" s="816"/>
      <c r="W124" s="816"/>
      <c r="X124" s="816"/>
      <c r="Y124" s="816"/>
      <c r="Z124" s="816"/>
      <c r="AA124" s="816"/>
      <c r="AB124" s="816"/>
      <c r="AC124" s="816"/>
      <c r="AD124" s="816"/>
      <c r="AE124" s="816"/>
      <c r="AF124" s="816"/>
      <c r="AG124" s="816"/>
      <c r="AH124" s="816"/>
      <c r="AI124" s="816"/>
      <c r="AJ124" s="816"/>
      <c r="AK124" s="816"/>
      <c r="AL124" s="816"/>
      <c r="AM124" s="816"/>
      <c r="AN124" s="816"/>
      <c r="AO124" s="816"/>
      <c r="AP124" s="816"/>
      <c r="AQ124" s="817"/>
    </row>
    <row r="125" spans="9:43" x14ac:dyDescent="0.2">
      <c r="I125" s="820" t="s">
        <v>1141</v>
      </c>
      <c r="J125" s="816"/>
      <c r="K125" s="816"/>
      <c r="L125" s="816"/>
      <c r="M125" s="816"/>
      <c r="N125" s="816"/>
      <c r="O125" s="816"/>
      <c r="P125" s="816"/>
      <c r="Q125" s="816"/>
      <c r="R125" s="816"/>
      <c r="S125" s="816"/>
      <c r="T125" s="816"/>
      <c r="U125" s="816"/>
      <c r="V125" s="816"/>
      <c r="W125" s="816"/>
      <c r="X125" s="816"/>
      <c r="Y125" s="816"/>
      <c r="Z125" s="816"/>
      <c r="AA125" s="816"/>
      <c r="AB125" s="816"/>
      <c r="AC125" s="816"/>
      <c r="AD125" s="816"/>
      <c r="AE125" s="816"/>
      <c r="AF125" s="816"/>
      <c r="AG125" s="816"/>
      <c r="AH125" s="816"/>
      <c r="AI125" s="816"/>
      <c r="AJ125" s="816"/>
      <c r="AK125" s="816"/>
      <c r="AL125" s="816"/>
      <c r="AM125" s="816"/>
      <c r="AN125" s="816"/>
      <c r="AO125" s="816"/>
      <c r="AP125" s="816"/>
      <c r="AQ125" s="817"/>
    </row>
    <row r="126" spans="9:43" x14ac:dyDescent="0.2">
      <c r="I126" s="804" t="s">
        <v>1136</v>
      </c>
      <c r="J126" s="824">
        <f t="shared" ref="J126:AQ126" si="26">J$13*J$8*$B$28</f>
        <v>3199.5</v>
      </c>
      <c r="K126" s="824">
        <f t="shared" si="26"/>
        <v>3285.9971327903609</v>
      </c>
      <c r="L126" s="824">
        <f t="shared" si="26"/>
        <v>3374.8326790768779</v>
      </c>
      <c r="M126" s="824">
        <f t="shared" si="26"/>
        <v>3466.0698568819594</v>
      </c>
      <c r="N126" s="824">
        <f t="shared" si="26"/>
        <v>3559.7735933005838</v>
      </c>
      <c r="O126" s="824">
        <f t="shared" si="26"/>
        <v>3656.0105707043463</v>
      </c>
      <c r="P126" s="824">
        <f t="shared" si="26"/>
        <v>3754.8492741946338</v>
      </c>
      <c r="Q126" s="824">
        <f t="shared" si="26"/>
        <v>3856.3600403386572</v>
      </c>
      <c r="R126" s="824">
        <f t="shared" si="26"/>
        <v>3960.6151072230491</v>
      </c>
      <c r="S126" s="824">
        <f t="shared" si="26"/>
        <v>4067.6886658606427</v>
      </c>
      <c r="T126" s="824">
        <f t="shared" si="26"/>
        <v>4177.6569129870049</v>
      </c>
      <c r="U126" s="824">
        <f t="shared" si="26"/>
        <v>4290.5981052843026</v>
      </c>
      <c r="V126" s="824">
        <f t="shared" si="26"/>
        <v>4406.5926150710957</v>
      </c>
      <c r="W126" s="824">
        <f t="shared" si="26"/>
        <v>4525.722987497672</v>
      </c>
      <c r="X126" s="824">
        <f t="shared" si="26"/>
        <v>4648.0739992876315</v>
      </c>
      <c r="Y126" s="824">
        <f t="shared" si="26"/>
        <v>4773.7327190675351</v>
      </c>
      <c r="Z126" s="824">
        <f t="shared" si="26"/>
        <v>4902.7885693275366</v>
      </c>
      <c r="AA126" s="824">
        <f t="shared" si="26"/>
        <v>5035.3333900570851</v>
      </c>
      <c r="AB126" s="824">
        <f t="shared" si="26"/>
        <v>5171.4615041009984</v>
      </c>
      <c r="AC126" s="824">
        <f t="shared" si="26"/>
        <v>5311.2697842824209</v>
      </c>
      <c r="AD126" s="824">
        <f t="shared" si="26"/>
        <v>5439.1335299570592</v>
      </c>
      <c r="AE126" s="824">
        <f t="shared" si="26"/>
        <v>5570.0754731479155</v>
      </c>
      <c r="AF126" s="824">
        <f t="shared" si="26"/>
        <v>5704.169718519287</v>
      </c>
      <c r="AG126" s="824">
        <f t="shared" si="26"/>
        <v>5841.4921547344638</v>
      </c>
      <c r="AH126" s="824">
        <f t="shared" si="26"/>
        <v>5982.1204974037983</v>
      </c>
      <c r="AI126" s="824">
        <f t="shared" si="26"/>
        <v>6126.1343330667178</v>
      </c>
      <c r="AJ126" s="824">
        <f t="shared" si="26"/>
        <v>6273.615164232544</v>
      </c>
      <c r="AK126" s="824">
        <f t="shared" si="26"/>
        <v>6424.6464555056436</v>
      </c>
      <c r="AL126" s="824">
        <f t="shared" si="26"/>
        <v>6579.3136808209965</v>
      </c>
      <c r="AM126" s="824">
        <f t="shared" si="26"/>
        <v>6737.7043718169025</v>
      </c>
      <c r="AN126" s="824">
        <f t="shared" si="26"/>
        <v>6899.908167372213</v>
      </c>
      <c r="AO126" s="824">
        <f t="shared" si="26"/>
        <v>0</v>
      </c>
      <c r="AP126" s="824">
        <f t="shared" si="26"/>
        <v>0</v>
      </c>
      <c r="AQ126" s="825">
        <f t="shared" si="26"/>
        <v>0</v>
      </c>
    </row>
    <row r="127" spans="9:43" x14ac:dyDescent="0.2">
      <c r="I127" s="804" t="s">
        <v>1137</v>
      </c>
      <c r="J127" s="824">
        <f t="shared" ref="J127:AQ127" si="27">J$13*J$9*$B$29</f>
        <v>850.5</v>
      </c>
      <c r="K127" s="824">
        <f t="shared" si="27"/>
        <v>873.49290871642484</v>
      </c>
      <c r="L127" s="824">
        <f t="shared" si="27"/>
        <v>897.10742102043582</v>
      </c>
      <c r="M127" s="824">
        <f t="shared" si="27"/>
        <v>921.36034170279947</v>
      </c>
      <c r="N127" s="824">
        <f t="shared" si="27"/>
        <v>946.26892986471194</v>
      </c>
      <c r="O127" s="824">
        <f t="shared" si="27"/>
        <v>971.85091119988931</v>
      </c>
      <c r="P127" s="824">
        <f t="shared" si="27"/>
        <v>998.12449060870006</v>
      </c>
      <c r="Q127" s="824">
        <f t="shared" si="27"/>
        <v>1025.108365153314</v>
      </c>
      <c r="R127" s="824">
        <f t="shared" si="27"/>
        <v>1052.8217373630889</v>
      </c>
      <c r="S127" s="824">
        <f t="shared" si="27"/>
        <v>1081.2843288996646</v>
      </c>
      <c r="T127" s="824">
        <f t="shared" si="27"/>
        <v>1110.5163945914821</v>
      </c>
      <c r="U127" s="824">
        <f t="shared" si="27"/>
        <v>1140.5387368477257</v>
      </c>
      <c r="V127" s="824">
        <f t="shared" si="27"/>
        <v>1171.372720461937</v>
      </c>
      <c r="W127" s="824">
        <f t="shared" si="27"/>
        <v>1203.0402878158366</v>
      </c>
      <c r="X127" s="824">
        <f t="shared" si="27"/>
        <v>1235.5639744941802</v>
      </c>
      <c r="Y127" s="824">
        <f t="shared" si="27"/>
        <v>1268.9669253217496</v>
      </c>
      <c r="Z127" s="824">
        <f t="shared" si="27"/>
        <v>1303.2729108339022</v>
      </c>
      <c r="AA127" s="824">
        <f t="shared" si="27"/>
        <v>1338.5063441923894</v>
      </c>
      <c r="AB127" s="824">
        <f t="shared" si="27"/>
        <v>1374.6922985584931</v>
      </c>
      <c r="AC127" s="824">
        <f t="shared" si="27"/>
        <v>1411.8565249358335</v>
      </c>
      <c r="AD127" s="824">
        <f t="shared" si="27"/>
        <v>1445.8456218873196</v>
      </c>
      <c r="AE127" s="824">
        <f t="shared" si="27"/>
        <v>1480.6529738747622</v>
      </c>
      <c r="AF127" s="824">
        <f t="shared" si="27"/>
        <v>1516.2982796063927</v>
      </c>
      <c r="AG127" s="824">
        <f t="shared" si="27"/>
        <v>1552.8017120180218</v>
      </c>
      <c r="AH127" s="824">
        <f t="shared" si="27"/>
        <v>1590.1839296896173</v>
      </c>
      <c r="AI127" s="824">
        <f t="shared" si="27"/>
        <v>1628.4660885367227</v>
      </c>
      <c r="AJ127" s="824">
        <f t="shared" si="27"/>
        <v>1667.6698537833345</v>
      </c>
      <c r="AK127" s="824">
        <f t="shared" si="27"/>
        <v>1707.8174122230196</v>
      </c>
      <c r="AL127" s="824">
        <f t="shared" si="27"/>
        <v>1748.9314847752016</v>
      </c>
      <c r="AM127" s="824">
        <f t="shared" si="27"/>
        <v>1791.0353393437329</v>
      </c>
      <c r="AN127" s="824">
        <f t="shared" si="27"/>
        <v>1834.1528039850186</v>
      </c>
      <c r="AO127" s="824">
        <f t="shared" si="27"/>
        <v>0</v>
      </c>
      <c r="AP127" s="824">
        <f t="shared" si="27"/>
        <v>0</v>
      </c>
      <c r="AQ127" s="825">
        <f t="shared" si="27"/>
        <v>0</v>
      </c>
    </row>
    <row r="128" spans="9:43" x14ac:dyDescent="0.2">
      <c r="I128" s="828"/>
      <c r="J128" s="805"/>
      <c r="K128" s="807"/>
      <c r="L128" s="807"/>
      <c r="M128" s="807"/>
      <c r="N128" s="807"/>
      <c r="O128" s="807"/>
      <c r="P128" s="807"/>
      <c r="Q128" s="807"/>
      <c r="R128" s="807"/>
      <c r="S128" s="807"/>
      <c r="T128" s="807"/>
      <c r="U128" s="807"/>
      <c r="V128" s="807"/>
      <c r="W128" s="807"/>
      <c r="X128" s="807"/>
      <c r="Y128" s="807"/>
      <c r="Z128" s="807"/>
      <c r="AA128" s="807"/>
      <c r="AB128" s="807"/>
      <c r="AC128" s="807"/>
      <c r="AD128" s="807"/>
      <c r="AE128" s="807"/>
      <c r="AF128" s="807"/>
      <c r="AG128" s="807"/>
      <c r="AH128" s="807"/>
      <c r="AI128" s="807"/>
      <c r="AJ128" s="807"/>
      <c r="AK128" s="807"/>
      <c r="AL128" s="807"/>
      <c r="AM128" s="807"/>
      <c r="AN128" s="807"/>
      <c r="AO128" s="807"/>
      <c r="AP128" s="807"/>
      <c r="AQ128" s="808"/>
    </row>
    <row r="129" spans="9:43" x14ac:dyDescent="0.2">
      <c r="I129" s="820" t="s">
        <v>1144</v>
      </c>
      <c r="J129" s="805"/>
      <c r="K129" s="807"/>
      <c r="L129" s="807"/>
      <c r="M129" s="807"/>
      <c r="N129" s="807"/>
      <c r="O129" s="807"/>
      <c r="P129" s="807"/>
      <c r="Q129" s="807"/>
      <c r="R129" s="807"/>
      <c r="S129" s="807"/>
      <c r="T129" s="807"/>
      <c r="U129" s="807"/>
      <c r="V129" s="807"/>
      <c r="W129" s="807"/>
      <c r="X129" s="807"/>
      <c r="Y129" s="807"/>
      <c r="Z129" s="807"/>
      <c r="AA129" s="807"/>
      <c r="AB129" s="807"/>
      <c r="AC129" s="807"/>
      <c r="AD129" s="807"/>
      <c r="AE129" s="807"/>
      <c r="AF129" s="807"/>
      <c r="AG129" s="807"/>
      <c r="AH129" s="807"/>
      <c r="AI129" s="807"/>
      <c r="AJ129" s="807"/>
      <c r="AK129" s="807"/>
      <c r="AL129" s="807"/>
      <c r="AM129" s="807"/>
      <c r="AN129" s="807"/>
      <c r="AO129" s="807"/>
      <c r="AP129" s="807"/>
      <c r="AQ129" s="808"/>
    </row>
    <row r="130" spans="9:43" x14ac:dyDescent="0.2">
      <c r="I130" s="804" t="s">
        <v>1145</v>
      </c>
      <c r="J130" s="805"/>
      <c r="K130" s="807"/>
      <c r="L130" s="807"/>
      <c r="M130" s="831">
        <f>'[3]Vehicle Diversion'!$N$12*(1+B90)^3/2</f>
        <v>9.5785998280940667</v>
      </c>
      <c r="N130" s="831">
        <f>'[3]Vehicle Diversion'!$N$12*(1+$B$56)^(N116-$J$6)</f>
        <v>19.517539674576668</v>
      </c>
      <c r="O130" s="831">
        <f>'[3]Vehicle Diversion'!$N$12*(1+$B$56)^(O116-$J$6)</f>
        <v>19.608678781224437</v>
      </c>
      <c r="P130" s="831">
        <f>'[3]Vehicle Diversion'!$N$12*(1+$B$56)^(P116-$J$6)</f>
        <v>19.700243471060411</v>
      </c>
      <c r="Q130" s="831">
        <f>'[3]Vehicle Diversion'!$N$12*(1+$B$56)^(Q116-$J$6)</f>
        <v>19.792235731387915</v>
      </c>
      <c r="R130" s="831">
        <f>'[3]Vehicle Diversion'!$N$12*(1+$B$56)^(R116-$J$6)</f>
        <v>19.884657558790192</v>
      </c>
      <c r="S130" s="831">
        <f>'[3]Vehicle Diversion'!$N$12*(1+$B$56)^(S116-$J$6)</f>
        <v>19.977510959173728</v>
      </c>
      <c r="T130" s="831">
        <f>'[3]Vehicle Diversion'!$N$12*(1+$B$56)^(T116-$J$6)</f>
        <v>20.070797947811794</v>
      </c>
      <c r="U130" s="831">
        <f>'[3]Vehicle Diversion'!$N$12*(1+$B$56)^(U116-$J$6)</f>
        <v>20.164520549388168</v>
      </c>
      <c r="V130" s="831">
        <f>'[3]Vehicle Diversion'!$N$12*(1+$B$56)^(V116-$J$6)</f>
        <v>20.258680798041116</v>
      </c>
      <c r="W130" s="831">
        <f>'[3]Vehicle Diversion'!$N$12*(1+$B$56)^(W116-$J$6)</f>
        <v>20.353280737407495</v>
      </c>
      <c r="X130" s="831">
        <f>'[3]Vehicle Diversion'!$N$12*(1+$B$56)^(X116-$J$6)</f>
        <v>20.448322420667136</v>
      </c>
      <c r="Y130" s="831">
        <f>'[3]Vehicle Diversion'!$N$12*(1+$B$56)^(Y116-$J$6)</f>
        <v>20.5438079105874</v>
      </c>
      <c r="Z130" s="831">
        <f>'[3]Vehicle Diversion'!$N$12*(1+$B$56)^(Z116-$J$6)</f>
        <v>20.639739279567955</v>
      </c>
      <c r="AA130" s="831">
        <f>'[3]Vehicle Diversion'!$N$12*(1+$B$56)^(AA116-$J$6)</f>
        <v>20.736118609685729</v>
      </c>
      <c r="AB130" s="831">
        <f>'[3]Vehicle Diversion'!$N$12*(1+$B$56)^(AB116-$J$6)</f>
        <v>20.832947992740127</v>
      </c>
      <c r="AC130" s="831">
        <f>'[3]Vehicle Diversion'!$N$12*(1+$B$56)^(AC116-$J$6)</f>
        <v>20.930229530298419</v>
      </c>
      <c r="AD130" s="831">
        <f>'[3]Vehicle Diversion'!$N$12*(1+$B$56)^(AD116-$J$6)</f>
        <v>21.027965333741363</v>
      </c>
      <c r="AE130" s="831">
        <f>'[3]Vehicle Diversion'!$N$12*(1+$B$56)^(AE116-$J$6)</f>
        <v>21.126157524309001</v>
      </c>
      <c r="AF130" s="831">
        <f>'[3]Vehicle Diversion'!$N$12*(1+$B$56)^(AF116-$J$6)</f>
        <v>21.224808233146735</v>
      </c>
      <c r="AG130" s="831">
        <f>'[3]Vehicle Diversion'!$N$12*(1+$B$56)^(AG116-$J$6)</f>
        <v>21.323919601351559</v>
      </c>
      <c r="AH130" s="831">
        <f>'[3]Vehicle Diversion'!$N$12*(1+$B$56)^(AH116-$J$6)</f>
        <v>21.423493780018539</v>
      </c>
      <c r="AI130" s="831">
        <f>'[3]Vehicle Diversion'!$N$12*(1+$B$56)^(AI116-$J$6)</f>
        <v>21.52353293028748</v>
      </c>
      <c r="AJ130" s="831">
        <f>'[3]Vehicle Diversion'!$N$12*(1+$B$56)^(AJ116-$J$6)</f>
        <v>21.624039223389865</v>
      </c>
      <c r="AK130" s="831">
        <f>'[3]Vehicle Diversion'!$N$12*(1+$B$56)^(AK116-$J$6)</f>
        <v>21.72501484069593</v>
      </c>
      <c r="AL130" s="831">
        <f>'[3]Vehicle Diversion'!$N$12*(1+$B$56)^(AL116-$J$6)</f>
        <v>21.826461973762083</v>
      </c>
      <c r="AM130" s="831">
        <f>'[3]Vehicle Diversion'!$N$12*(1+$B$56)^(AM116-$J$6)</f>
        <v>21.928382824378382</v>
      </c>
      <c r="AN130" s="831">
        <f>'[3]Vehicle Diversion'!$N$12*(1+$B$56)^(AN116-$J$6)</f>
        <v>22.030779604616384</v>
      </c>
      <c r="AO130" s="831">
        <f>'[3]Vehicle Diversion'!$N$12*(1+$B$56)^(AO116-$J$6)</f>
        <v>22.133654536877142</v>
      </c>
      <c r="AP130" s="831">
        <f>'[3]Vehicle Diversion'!$N$12*(1+$B$56)^(AP116-$J$6)</f>
        <v>22.237009853939419</v>
      </c>
      <c r="AQ130" s="832">
        <f>'[3]Vehicle Diversion'!$N$12*(1+$B$56)^(AQ116-$J$6)</f>
        <v>22.340847799008166</v>
      </c>
    </row>
    <row r="131" spans="9:43" x14ac:dyDescent="0.2">
      <c r="I131" s="804" t="s">
        <v>1146</v>
      </c>
      <c r="J131" s="805"/>
      <c r="K131" s="807"/>
      <c r="L131" s="807"/>
      <c r="M131" s="807">
        <f>'[3]Vehicle Diversion'!$O$12*(1+B91)^3/2</f>
        <v>4.9761578685858048</v>
      </c>
      <c r="N131" s="831">
        <f>'[3]Vehicle Diversion'!$O$12*(1+$B$56)^(N116-$J$6)</f>
        <v>10.139515207872041</v>
      </c>
      <c r="O131" s="831">
        <f>'[3]Vehicle Diversion'!$O$12*(1+$B$56)^(O116-$J$6)</f>
        <v>10.186862689844407</v>
      </c>
      <c r="P131" s="831">
        <f>'[3]Vehicle Diversion'!$O$12*(1+$B$56)^(P116-$J$6)</f>
        <v>10.234431265626798</v>
      </c>
      <c r="Q131" s="831">
        <f>'[3]Vehicle Diversion'!$O$12*(1+$B$56)^(Q116-$J$6)</f>
        <v>10.282221967638909</v>
      </c>
      <c r="R131" s="831">
        <f>'[3]Vehicle Diversion'!$O$12*(1+$B$56)^(R116-$J$6)</f>
        <v>10.330235833121423</v>
      </c>
      <c r="S131" s="831">
        <f>'[3]Vehicle Diversion'!$O$12*(1+$B$56)^(S116-$J$6)</f>
        <v>10.378473904158513</v>
      </c>
      <c r="T131" s="831">
        <f>'[3]Vehicle Diversion'!$O$12*(1+$B$56)^(T116-$J$6)</f>
        <v>10.426937227700483</v>
      </c>
      <c r="U131" s="831">
        <f>'[3]Vehicle Diversion'!$O$12*(1+$B$56)^(U116-$J$6)</f>
        <v>10.475626855586464</v>
      </c>
      <c r="V131" s="831">
        <f>'[3]Vehicle Diversion'!$O$12*(1+$B$56)^(V116-$J$6)</f>
        <v>10.524543844567264</v>
      </c>
      <c r="W131" s="831">
        <f>'[3]Vehicle Diversion'!$O$12*(1+$B$56)^(W116-$J$6)</f>
        <v>10.573689256328285</v>
      </c>
      <c r="X131" s="831">
        <f>'[3]Vehicle Diversion'!$O$12*(1+$B$56)^(X116-$J$6)</f>
        <v>10.623064157512585</v>
      </c>
      <c r="Y131" s="831">
        <f>'[3]Vehicle Diversion'!$O$12*(1+$B$56)^(Y116-$J$6)</f>
        <v>10.672669619744015</v>
      </c>
      <c r="Z131" s="831">
        <f>'[3]Vehicle Diversion'!$O$12*(1+$B$56)^(Z116-$J$6)</f>
        <v>10.722506719650482</v>
      </c>
      <c r="AA131" s="831">
        <f>'[3]Vehicle Diversion'!$O$12*(1+$B$56)^(AA116-$J$6)</f>
        <v>10.772576538887311</v>
      </c>
      <c r="AB131" s="831">
        <f>'[3]Vehicle Diversion'!$O$12*(1+$B$56)^(AB116-$J$6)</f>
        <v>10.822880164160727</v>
      </c>
      <c r="AC131" s="831">
        <f>'[3]Vehicle Diversion'!$O$12*(1+$B$56)^(AC116-$J$6)</f>
        <v>10.873418687251439</v>
      </c>
      <c r="AD131" s="831">
        <f>'[3]Vehicle Diversion'!$O$12*(1+$B$56)^(AD116-$J$6)</f>
        <v>10.924193205038339</v>
      </c>
      <c r="AE131" s="831">
        <f>'[3]Vehicle Diversion'!$O$12*(1+$B$56)^(AE116-$J$6)</f>
        <v>10.975204819522297</v>
      </c>
      <c r="AF131" s="831">
        <f>'[3]Vehicle Diversion'!$O$12*(1+$B$56)^(AF116-$J$6)</f>
        <v>11.02645463785009</v>
      </c>
      <c r="AG131" s="831">
        <f>'[3]Vehicle Diversion'!$O$12*(1+$B$56)^(AG116-$J$6)</f>
        <v>11.077943772338433</v>
      </c>
      <c r="AH131" s="831">
        <f>'[3]Vehicle Diversion'!$O$12*(1+$B$56)^(AH116-$J$6)</f>
        <v>11.12967334049811</v>
      </c>
      <c r="AI131" s="831">
        <f>'[3]Vehicle Diversion'!$O$12*(1+$B$56)^(AI116-$J$6)</f>
        <v>11.181644465058229</v>
      </c>
      <c r="AJ131" s="831">
        <f>'[3]Vehicle Diversion'!$O$12*(1+$B$56)^(AJ116-$J$6)</f>
        <v>11.233858273990608</v>
      </c>
      <c r="AK131" s="831">
        <f>'[3]Vehicle Diversion'!$O$12*(1+$B$56)^(AK116-$J$6)</f>
        <v>11.286315900534223</v>
      </c>
      <c r="AL131" s="831">
        <f>'[3]Vehicle Diversion'!$O$12*(1+$B$56)^(AL116-$J$6)</f>
        <v>11.339018483219844</v>
      </c>
      <c r="AM131" s="831">
        <f>'[3]Vehicle Diversion'!$O$12*(1+$B$56)^(AM116-$J$6)</f>
        <v>11.391967165894707</v>
      </c>
      <c r="AN131" s="831">
        <f>'[3]Vehicle Diversion'!$O$12*(1+$B$56)^(AN116-$J$6)</f>
        <v>11.445163097747368</v>
      </c>
      <c r="AO131" s="831">
        <f>'[3]Vehicle Diversion'!$O$12*(1+$B$56)^(AO116-$J$6)</f>
        <v>11.498607433332628</v>
      </c>
      <c r="AP131" s="831">
        <f>'[3]Vehicle Diversion'!$O$12*(1+$B$56)^(AP116-$J$6)</f>
        <v>11.552301332596608</v>
      </c>
      <c r="AQ131" s="832">
        <f>'[3]Vehicle Diversion'!$O$12*(1+$B$56)^(AQ116-$J$6)</f>
        <v>11.606245960901894</v>
      </c>
    </row>
    <row r="132" spans="9:43" x14ac:dyDescent="0.2">
      <c r="I132" s="820"/>
      <c r="J132" s="805"/>
      <c r="K132" s="805"/>
      <c r="L132" s="805"/>
      <c r="M132" s="805"/>
      <c r="N132" s="805"/>
      <c r="O132" s="805"/>
      <c r="P132" s="805"/>
      <c r="Q132" s="805"/>
      <c r="R132" s="805"/>
      <c r="S132" s="805"/>
      <c r="T132" s="805"/>
      <c r="U132" s="805"/>
      <c r="V132" s="805"/>
      <c r="W132" s="805"/>
      <c r="X132" s="805"/>
      <c r="Y132" s="805"/>
      <c r="Z132" s="805"/>
      <c r="AA132" s="805"/>
      <c r="AB132" s="805"/>
      <c r="AC132" s="805"/>
      <c r="AD132" s="805"/>
      <c r="AE132" s="805"/>
      <c r="AF132" s="805"/>
      <c r="AG132" s="805"/>
      <c r="AH132" s="805"/>
      <c r="AI132" s="805"/>
      <c r="AJ132" s="805"/>
      <c r="AK132" s="805"/>
      <c r="AL132" s="805"/>
      <c r="AM132" s="805"/>
      <c r="AN132" s="805"/>
      <c r="AO132" s="805"/>
      <c r="AP132" s="805"/>
      <c r="AQ132" s="808"/>
    </row>
    <row r="133" spans="9:43" x14ac:dyDescent="0.2">
      <c r="I133" s="820" t="s">
        <v>1166</v>
      </c>
      <c r="J133" s="805"/>
      <c r="K133" s="805"/>
      <c r="L133" s="805"/>
      <c r="M133" s="805"/>
      <c r="N133" s="805"/>
      <c r="O133" s="805"/>
      <c r="P133" s="805"/>
      <c r="Q133" s="805"/>
      <c r="R133" s="805"/>
      <c r="S133" s="805"/>
      <c r="T133" s="805"/>
      <c r="U133" s="805"/>
      <c r="V133" s="805"/>
      <c r="W133" s="805"/>
      <c r="X133" s="805"/>
      <c r="Y133" s="805"/>
      <c r="Z133" s="805"/>
      <c r="AA133" s="805"/>
      <c r="AB133" s="805"/>
      <c r="AC133" s="805"/>
      <c r="AD133" s="805"/>
      <c r="AE133" s="805"/>
      <c r="AF133" s="805"/>
      <c r="AG133" s="805"/>
      <c r="AH133" s="805"/>
      <c r="AI133" s="805"/>
      <c r="AJ133" s="805"/>
      <c r="AK133" s="805"/>
      <c r="AL133" s="805"/>
      <c r="AM133" s="805"/>
      <c r="AN133" s="805"/>
      <c r="AO133" s="805"/>
      <c r="AP133" s="805"/>
      <c r="AQ133" s="806"/>
    </row>
    <row r="134" spans="9:43" x14ac:dyDescent="0.2">
      <c r="I134" s="838" t="s">
        <v>1150</v>
      </c>
      <c r="J134" s="839">
        <f t="shared" ref="J134:AQ134" si="28">J126*$C$15/(60*60)</f>
        <v>53.325000000000003</v>
      </c>
      <c r="K134" s="839">
        <f t="shared" si="28"/>
        <v>54.766618879839349</v>
      </c>
      <c r="L134" s="839">
        <f t="shared" si="28"/>
        <v>56.247211317947965</v>
      </c>
      <c r="M134" s="839">
        <f t="shared" si="28"/>
        <v>57.76783094803266</v>
      </c>
      <c r="N134" s="839">
        <f t="shared" si="28"/>
        <v>59.329559888343063</v>
      </c>
      <c r="O134" s="839">
        <f t="shared" si="28"/>
        <v>60.933509511739103</v>
      </c>
      <c r="P134" s="839">
        <f t="shared" si="28"/>
        <v>62.580821236577229</v>
      </c>
      <c r="Q134" s="839">
        <f t="shared" si="28"/>
        <v>64.272667338977612</v>
      </c>
      <c r="R134" s="839">
        <f t="shared" si="28"/>
        <v>66.010251787050819</v>
      </c>
      <c r="S134" s="839">
        <f t="shared" si="28"/>
        <v>67.794811097677382</v>
      </c>
      <c r="T134" s="839">
        <f t="shared" si="28"/>
        <v>69.627615216450081</v>
      </c>
      <c r="U134" s="839">
        <f t="shared" si="28"/>
        <v>71.509968421405034</v>
      </c>
      <c r="V134" s="839">
        <f t="shared" si="28"/>
        <v>73.443210251184922</v>
      </c>
      <c r="W134" s="839">
        <f t="shared" si="28"/>
        <v>75.428716458294531</v>
      </c>
      <c r="X134" s="839">
        <f t="shared" si="28"/>
        <v>77.467899988127186</v>
      </c>
      <c r="Y134" s="839">
        <f t="shared" si="28"/>
        <v>79.562211984458912</v>
      </c>
      <c r="Z134" s="839">
        <f t="shared" si="28"/>
        <v>81.713142822125619</v>
      </c>
      <c r="AA134" s="839">
        <f t="shared" si="28"/>
        <v>83.922223167618085</v>
      </c>
      <c r="AB134" s="839">
        <f t="shared" si="28"/>
        <v>86.191025068349973</v>
      </c>
      <c r="AC134" s="839">
        <f t="shared" si="28"/>
        <v>88.521163071373678</v>
      </c>
      <c r="AD134" s="839">
        <f t="shared" si="28"/>
        <v>90.652225499284313</v>
      </c>
      <c r="AE134" s="839">
        <f t="shared" si="28"/>
        <v>92.834591219131937</v>
      </c>
      <c r="AF134" s="839">
        <f t="shared" si="28"/>
        <v>95.06949530865478</v>
      </c>
      <c r="AG134" s="839">
        <f t="shared" si="28"/>
        <v>97.358202578907722</v>
      </c>
      <c r="AH134" s="839">
        <f t="shared" si="28"/>
        <v>99.702008290063304</v>
      </c>
      <c r="AI134" s="839">
        <f t="shared" si="28"/>
        <v>102.1022388844453</v>
      </c>
      <c r="AJ134" s="839">
        <f t="shared" si="28"/>
        <v>104.56025273720907</v>
      </c>
      <c r="AK134" s="839">
        <f t="shared" si="28"/>
        <v>107.07744092509407</v>
      </c>
      <c r="AL134" s="839">
        <f t="shared" si="28"/>
        <v>109.65522801368327</v>
      </c>
      <c r="AM134" s="839">
        <f t="shared" si="28"/>
        <v>112.29507286361505</v>
      </c>
      <c r="AN134" s="839">
        <f t="shared" si="28"/>
        <v>114.99846945620355</v>
      </c>
      <c r="AO134" s="839">
        <f t="shared" si="28"/>
        <v>0</v>
      </c>
      <c r="AP134" s="839">
        <f t="shared" si="28"/>
        <v>0</v>
      </c>
      <c r="AQ134" s="840">
        <f t="shared" si="28"/>
        <v>0</v>
      </c>
    </row>
    <row r="135" spans="9:43" x14ac:dyDescent="0.2">
      <c r="I135" s="843" t="s">
        <v>1151</v>
      </c>
      <c r="J135" s="839">
        <f t="shared" ref="J135:AQ135" si="29">J127*$C$15/(60*60)</f>
        <v>14.175000000000001</v>
      </c>
      <c r="K135" s="839">
        <f t="shared" si="29"/>
        <v>14.558215145273747</v>
      </c>
      <c r="L135" s="839">
        <f t="shared" si="29"/>
        <v>14.951790350340598</v>
      </c>
      <c r="M135" s="839">
        <f t="shared" si="29"/>
        <v>15.356005695046658</v>
      </c>
      <c r="N135" s="839">
        <f t="shared" si="29"/>
        <v>15.771148831078531</v>
      </c>
      <c r="O135" s="839">
        <f t="shared" si="29"/>
        <v>16.19751518666482</v>
      </c>
      <c r="P135" s="839">
        <f t="shared" si="29"/>
        <v>16.635408176811669</v>
      </c>
      <c r="Q135" s="839">
        <f t="shared" si="29"/>
        <v>17.0851394192219</v>
      </c>
      <c r="R135" s="839">
        <f t="shared" si="29"/>
        <v>17.547028956051481</v>
      </c>
      <c r="S135" s="839">
        <f t="shared" si="29"/>
        <v>18.021405481661077</v>
      </c>
      <c r="T135" s="839">
        <f t="shared" si="29"/>
        <v>18.508606576524702</v>
      </c>
      <c r="U135" s="839">
        <f t="shared" si="29"/>
        <v>19.008978947462097</v>
      </c>
      <c r="V135" s="839">
        <f t="shared" si="29"/>
        <v>19.522878674365618</v>
      </c>
      <c r="W135" s="839">
        <f t="shared" si="29"/>
        <v>20.050671463597279</v>
      </c>
      <c r="X135" s="839">
        <f t="shared" si="29"/>
        <v>20.592732908236336</v>
      </c>
      <c r="Y135" s="839">
        <f t="shared" si="29"/>
        <v>21.149448755362492</v>
      </c>
      <c r="Z135" s="839">
        <f t="shared" si="29"/>
        <v>21.721215180565039</v>
      </c>
      <c r="AA135" s="839">
        <f t="shared" si="29"/>
        <v>22.308439069873156</v>
      </c>
      <c r="AB135" s="839">
        <f t="shared" si="29"/>
        <v>22.91153830930822</v>
      </c>
      <c r="AC135" s="839">
        <f t="shared" si="29"/>
        <v>23.530942082263891</v>
      </c>
      <c r="AD135" s="839">
        <f t="shared" si="29"/>
        <v>24.097427031455329</v>
      </c>
      <c r="AE135" s="839">
        <f t="shared" si="29"/>
        <v>24.677549564579369</v>
      </c>
      <c r="AF135" s="839">
        <f t="shared" si="29"/>
        <v>25.271637993439882</v>
      </c>
      <c r="AG135" s="839">
        <f t="shared" si="29"/>
        <v>25.880028533633695</v>
      </c>
      <c r="AH135" s="839">
        <f t="shared" si="29"/>
        <v>26.503065494826956</v>
      </c>
      <c r="AI135" s="839">
        <f t="shared" si="29"/>
        <v>27.141101475612047</v>
      </c>
      <c r="AJ135" s="839">
        <f t="shared" si="29"/>
        <v>27.794497563055572</v>
      </c>
      <c r="AK135" s="839">
        <f t="shared" si="29"/>
        <v>28.463623537050328</v>
      </c>
      <c r="AL135" s="839">
        <f t="shared" si="29"/>
        <v>29.148858079586692</v>
      </c>
      <c r="AM135" s="839">
        <f t="shared" si="29"/>
        <v>29.850588989062214</v>
      </c>
      <c r="AN135" s="839">
        <f t="shared" si="29"/>
        <v>30.569213399750311</v>
      </c>
      <c r="AO135" s="839">
        <f t="shared" si="29"/>
        <v>0</v>
      </c>
      <c r="AP135" s="839">
        <f t="shared" si="29"/>
        <v>0</v>
      </c>
      <c r="AQ135" s="840">
        <f t="shared" si="29"/>
        <v>0</v>
      </c>
    </row>
    <row r="136" spans="9:43" x14ac:dyDescent="0.2">
      <c r="I136" s="844"/>
      <c r="J136" s="839"/>
      <c r="K136" s="839"/>
      <c r="L136" s="839"/>
      <c r="M136" s="839"/>
      <c r="N136" s="839"/>
      <c r="O136" s="839"/>
      <c r="P136" s="839"/>
      <c r="Q136" s="839"/>
      <c r="R136" s="839"/>
      <c r="S136" s="839"/>
      <c r="T136" s="839"/>
      <c r="U136" s="839"/>
      <c r="V136" s="839"/>
      <c r="W136" s="839"/>
      <c r="X136" s="839"/>
      <c r="Y136" s="839"/>
      <c r="Z136" s="839"/>
      <c r="AA136" s="839"/>
      <c r="AB136" s="839"/>
      <c r="AC136" s="839"/>
      <c r="AD136" s="839"/>
      <c r="AE136" s="839"/>
      <c r="AF136" s="839"/>
      <c r="AG136" s="839"/>
      <c r="AH136" s="839"/>
      <c r="AI136" s="839"/>
      <c r="AJ136" s="839"/>
      <c r="AK136" s="839"/>
      <c r="AL136" s="839"/>
      <c r="AM136" s="839"/>
      <c r="AN136" s="839"/>
      <c r="AO136" s="839"/>
      <c r="AP136" s="839"/>
      <c r="AQ136" s="840"/>
    </row>
    <row r="137" spans="9:43" x14ac:dyDescent="0.2">
      <c r="I137" s="844" t="s">
        <v>1153</v>
      </c>
      <c r="J137" s="839">
        <f>(J134+J130)*(250+165/2)</f>
        <v>17730.5625</v>
      </c>
      <c r="K137" s="839">
        <f t="shared" ref="K137:L137" si="30">(K134+K130)*(250+165/2)</f>
        <v>18209.900777546583</v>
      </c>
      <c r="L137" s="839">
        <f t="shared" si="30"/>
        <v>18702.197763217697</v>
      </c>
      <c r="M137" s="839">
        <f>(M134+M130)*(250+165/2)</f>
        <v>22392.688233062134</v>
      </c>
      <c r="N137" s="839">
        <f>(N134+N130)*(250+165/2)</f>
        <v>26216.660604670811</v>
      </c>
      <c r="O137" s="839">
        <f t="shared" ref="O137:AQ137" si="31">(O134+O130)*(250+165/2)</f>
        <v>26780.277607410379</v>
      </c>
      <c r="P137" s="839">
        <f t="shared" si="31"/>
        <v>27358.454015289517</v>
      </c>
      <c r="Q137" s="839">
        <f t="shared" si="31"/>
        <v>27951.580270896538</v>
      </c>
      <c r="R137" s="839">
        <f t="shared" si="31"/>
        <v>28560.057357492136</v>
      </c>
      <c r="S137" s="839">
        <f t="shared" si="31"/>
        <v>29184.297083902995</v>
      </c>
      <c r="T137" s="839">
        <f t="shared" si="31"/>
        <v>29824.722377117076</v>
      </c>
      <c r="U137" s="839">
        <f t="shared" si="31"/>
        <v>30481.76758278874</v>
      </c>
      <c r="V137" s="839">
        <f t="shared" si="31"/>
        <v>31155.878773867658</v>
      </c>
      <c r="W137" s="839">
        <f t="shared" si="31"/>
        <v>31847.514067570923</v>
      </c>
      <c r="X137" s="839">
        <f t="shared" si="31"/>
        <v>32557.143950924114</v>
      </c>
      <c r="Y137" s="839">
        <f t="shared" si="31"/>
        <v>33285.251615102898</v>
      </c>
      <c r="Z137" s="839">
        <f t="shared" si="31"/>
        <v>34032.333298813115</v>
      </c>
      <c r="AA137" s="839">
        <f t="shared" si="31"/>
        <v>34798.898640953521</v>
      </c>
      <c r="AB137" s="839">
        <f t="shared" si="31"/>
        <v>35585.47104281246</v>
      </c>
      <c r="AC137" s="839">
        <f t="shared" si="31"/>
        <v>36392.588040055969</v>
      </c>
      <c r="AD137" s="839">
        <f t="shared" si="31"/>
        <v>37133.66345198104</v>
      </c>
      <c r="AE137" s="839">
        <f t="shared" si="31"/>
        <v>37891.948957194116</v>
      </c>
      <c r="AF137" s="839">
        <f t="shared" si="31"/>
        <v>38667.855927649005</v>
      </c>
      <c r="AG137" s="839">
        <f t="shared" si="31"/>
        <v>39461.805624936213</v>
      </c>
      <c r="AH137" s="839">
        <f t="shared" si="31"/>
        <v>40274.229438302209</v>
      </c>
      <c r="AI137" s="839">
        <f t="shared" si="31"/>
        <v>41105.569128398653</v>
      </c>
      <c r="AJ137" s="839">
        <f t="shared" si="31"/>
        <v>41956.27707689914</v>
      </c>
      <c r="AK137" s="839">
        <f t="shared" si="31"/>
        <v>42826.816542125176</v>
      </c>
      <c r="AL137" s="839">
        <f t="shared" si="31"/>
        <v>43717.66192082558</v>
      </c>
      <c r="AM137" s="839">
        <f t="shared" si="31"/>
        <v>44629.299016257821</v>
      </c>
      <c r="AN137" s="839">
        <f t="shared" si="31"/>
        <v>45562.225312722636</v>
      </c>
      <c r="AO137" s="839">
        <f t="shared" si="31"/>
        <v>7359.4401335116499</v>
      </c>
      <c r="AP137" s="839">
        <f t="shared" si="31"/>
        <v>7393.8057764348569</v>
      </c>
      <c r="AQ137" s="840">
        <f t="shared" si="31"/>
        <v>7428.3318931702152</v>
      </c>
    </row>
    <row r="138" spans="9:43" x14ac:dyDescent="0.2">
      <c r="I138" s="844" t="s">
        <v>1154</v>
      </c>
      <c r="J138" s="839">
        <f t="shared" ref="J138:L138" si="32">(J135+J131)*(250+165/2)</f>
        <v>4713.1875</v>
      </c>
      <c r="K138" s="839">
        <f t="shared" si="32"/>
        <v>4840.6065358035212</v>
      </c>
      <c r="L138" s="839">
        <f t="shared" si="32"/>
        <v>4971.4702914882491</v>
      </c>
      <c r="M138" s="839">
        <f>(M135+M131)*(250+165/2)</f>
        <v>6760.4443849077943</v>
      </c>
      <c r="N138" s="839">
        <f t="shared" ref="N138:AQ138" si="33">(N135+N131)*(250+165/2)</f>
        <v>8615.2957929510649</v>
      </c>
      <c r="O138" s="839">
        <f t="shared" si="33"/>
        <v>8772.8056439393185</v>
      </c>
      <c r="P138" s="839">
        <f t="shared" si="33"/>
        <v>8934.2216146107912</v>
      </c>
      <c r="Q138" s="839">
        <f t="shared" si="33"/>
        <v>9099.6476611312191</v>
      </c>
      <c r="R138" s="839">
        <f t="shared" si="33"/>
        <v>9269.1905423999906</v>
      </c>
      <c r="S138" s="839">
        <f t="shared" si="33"/>
        <v>9442.9598957850139</v>
      </c>
      <c r="T138" s="839">
        <f t="shared" si="33"/>
        <v>9621.0683149048728</v>
      </c>
      <c r="U138" s="839">
        <f t="shared" si="33"/>
        <v>9803.6314295136453</v>
      </c>
      <c r="V138" s="839">
        <f t="shared" si="33"/>
        <v>9990.7679875451831</v>
      </c>
      <c r="W138" s="839">
        <f t="shared" si="33"/>
        <v>10182.59993937525</v>
      </c>
      <c r="X138" s="839">
        <f t="shared" si="33"/>
        <v>10379.252524361516</v>
      </c>
      <c r="Y138" s="839">
        <f t="shared" si="33"/>
        <v>10580.854359722913</v>
      </c>
      <c r="Z138" s="839">
        <f t="shared" si="33"/>
        <v>10787.537531821661</v>
      </c>
      <c r="AA138" s="839">
        <f t="shared" si="33"/>
        <v>10999.437689912855</v>
      </c>
      <c r="AB138" s="839">
        <f t="shared" si="33"/>
        <v>11216.694142428425</v>
      </c>
      <c r="AC138" s="839">
        <f t="shared" si="33"/>
        <v>11439.449955863847</v>
      </c>
      <c r="AD138" s="839">
        <f t="shared" si="33"/>
        <v>11644.688728634144</v>
      </c>
      <c r="AE138" s="839">
        <f t="shared" si="33"/>
        <v>11854.540832713805</v>
      </c>
      <c r="AF138" s="839">
        <f t="shared" si="33"/>
        <v>12069.115799903917</v>
      </c>
      <c r="AG138" s="839">
        <f t="shared" si="33"/>
        <v>12288.525791735732</v>
      </c>
      <c r="AH138" s="839">
        <f t="shared" si="33"/>
        <v>12512.885662745584</v>
      </c>
      <c r="AI138" s="839">
        <f t="shared" si="33"/>
        <v>12742.313025272866</v>
      </c>
      <c r="AJ138" s="839">
        <f t="shared" si="33"/>
        <v>12976.928315817853</v>
      </c>
      <c r="AK138" s="839">
        <f t="shared" si="33"/>
        <v>13216.854862996863</v>
      </c>
      <c r="AL138" s="839">
        <f t="shared" si="33"/>
        <v>13462.218957133173</v>
      </c>
      <c r="AM138" s="839">
        <f t="shared" si="33"/>
        <v>13713.149921523176</v>
      </c>
      <c r="AN138" s="839">
        <f t="shared" si="33"/>
        <v>13969.780185417978</v>
      </c>
      <c r="AO138" s="839">
        <f t="shared" si="33"/>
        <v>3823.2869715830989</v>
      </c>
      <c r="AP138" s="839">
        <f t="shared" si="33"/>
        <v>3841.1401930883721</v>
      </c>
      <c r="AQ138" s="840">
        <f t="shared" si="33"/>
        <v>3859.07678199988</v>
      </c>
    </row>
    <row r="139" spans="9:43" x14ac:dyDescent="0.2">
      <c r="I139" s="844"/>
      <c r="J139" s="845"/>
      <c r="K139" s="845"/>
      <c r="L139" s="845"/>
      <c r="M139" s="845"/>
      <c r="N139" s="845"/>
      <c r="O139" s="845"/>
      <c r="P139" s="845"/>
      <c r="Q139" s="845"/>
      <c r="R139" s="845"/>
      <c r="S139" s="845"/>
      <c r="T139" s="845"/>
      <c r="U139" s="845"/>
      <c r="V139" s="845"/>
      <c r="W139" s="845"/>
      <c r="X139" s="845"/>
      <c r="Y139" s="845"/>
      <c r="Z139" s="845"/>
      <c r="AA139" s="845"/>
      <c r="AB139" s="845"/>
      <c r="AC139" s="845"/>
      <c r="AD139" s="845"/>
      <c r="AE139" s="845"/>
      <c r="AF139" s="845"/>
      <c r="AG139" s="845"/>
      <c r="AH139" s="845"/>
      <c r="AI139" s="845"/>
      <c r="AJ139" s="845"/>
      <c r="AK139" s="845"/>
      <c r="AL139" s="845"/>
      <c r="AM139" s="845"/>
      <c r="AN139" s="845"/>
      <c r="AO139" s="845"/>
      <c r="AP139" s="845"/>
      <c r="AQ139" s="846"/>
    </row>
    <row r="140" spans="9:43" x14ac:dyDescent="0.2">
      <c r="I140" s="828"/>
      <c r="J140" s="798"/>
      <c r="K140" s="798"/>
      <c r="L140" s="798"/>
      <c r="M140" s="798"/>
      <c r="N140" s="798"/>
      <c r="O140" s="798"/>
      <c r="P140" s="798"/>
      <c r="Q140" s="810"/>
      <c r="R140" s="798"/>
      <c r="S140" s="810"/>
      <c r="T140" s="798"/>
      <c r="U140" s="798"/>
      <c r="V140" s="798"/>
      <c r="W140" s="798"/>
      <c r="X140" s="798"/>
      <c r="Y140" s="810"/>
      <c r="Z140" s="798"/>
      <c r="AA140" s="798"/>
      <c r="AB140" s="798"/>
      <c r="AC140" s="798"/>
      <c r="AD140" s="798"/>
      <c r="AE140" s="798"/>
      <c r="AF140" s="798"/>
      <c r="AG140" s="798"/>
      <c r="AH140" s="798"/>
      <c r="AI140" s="798"/>
      <c r="AJ140" s="798"/>
      <c r="AK140" s="798"/>
      <c r="AL140" s="798"/>
      <c r="AM140" s="798"/>
      <c r="AN140" s="798"/>
      <c r="AO140" s="798"/>
      <c r="AP140" s="798"/>
      <c r="AQ140" s="847"/>
    </row>
    <row r="141" spans="9:43" x14ac:dyDescent="0.2">
      <c r="I141" s="800" t="s">
        <v>1156</v>
      </c>
      <c r="J141" s="798"/>
      <c r="K141" s="798"/>
      <c r="L141" s="798"/>
      <c r="M141" s="798"/>
      <c r="N141" s="798"/>
      <c r="O141" s="798"/>
      <c r="P141" s="798"/>
      <c r="Q141" s="810"/>
      <c r="R141" s="798"/>
      <c r="S141" s="810"/>
      <c r="T141" s="798"/>
      <c r="U141" s="798"/>
      <c r="V141" s="798"/>
      <c r="W141" s="798"/>
      <c r="X141" s="798"/>
      <c r="Y141" s="810"/>
      <c r="Z141" s="798"/>
      <c r="AA141" s="798"/>
      <c r="AB141" s="798"/>
      <c r="AC141" s="798"/>
      <c r="AD141" s="798"/>
      <c r="AE141" s="798"/>
      <c r="AF141" s="798"/>
      <c r="AG141" s="798"/>
      <c r="AH141" s="798"/>
      <c r="AI141" s="798"/>
      <c r="AJ141" s="798"/>
      <c r="AK141" s="798"/>
      <c r="AL141" s="798"/>
      <c r="AM141" s="798"/>
      <c r="AN141" s="798"/>
      <c r="AO141" s="798"/>
      <c r="AP141" s="798"/>
      <c r="AQ141" s="847"/>
    </row>
    <row r="142" spans="9:43" x14ac:dyDescent="0.2">
      <c r="I142" s="828" t="s">
        <v>1136</v>
      </c>
      <c r="J142" s="848">
        <f t="shared" ref="J142:AQ142" si="34">J137*$B$47</f>
        <v>228724.25625000001</v>
      </c>
      <c r="K142" s="848">
        <f t="shared" si="34"/>
        <v>234907.72003035093</v>
      </c>
      <c r="L142" s="848">
        <f t="shared" si="34"/>
        <v>241258.35114550829</v>
      </c>
      <c r="M142" s="848">
        <f t="shared" si="34"/>
        <v>288865.67820650153</v>
      </c>
      <c r="N142" s="848">
        <f t="shared" si="34"/>
        <v>338194.92180025345</v>
      </c>
      <c r="O142" s="848">
        <f t="shared" si="34"/>
        <v>345465.58113559388</v>
      </c>
      <c r="P142" s="848">
        <f t="shared" si="34"/>
        <v>352924.05679723481</v>
      </c>
      <c r="Q142" s="848">
        <f t="shared" si="34"/>
        <v>360575.38549456536</v>
      </c>
      <c r="R142" s="848">
        <f t="shared" si="34"/>
        <v>368424.73991164856</v>
      </c>
      <c r="S142" s="848">
        <f t="shared" si="34"/>
        <v>376477.43238234863</v>
      </c>
      <c r="T142" s="848">
        <f t="shared" si="34"/>
        <v>384738.91866481031</v>
      </c>
      <c r="U142" s="848">
        <f t="shared" si="34"/>
        <v>393214.80181797477</v>
      </c>
      <c r="V142" s="848">
        <f t="shared" si="34"/>
        <v>401910.83618289279</v>
      </c>
      <c r="W142" s="848">
        <f t="shared" si="34"/>
        <v>410832.93147166492</v>
      </c>
      <c r="X142" s="848">
        <f t="shared" si="34"/>
        <v>419987.15696692106</v>
      </c>
      <c r="Y142" s="848">
        <f t="shared" si="34"/>
        <v>429379.74583482736</v>
      </c>
      <c r="Z142" s="848">
        <f t="shared" si="34"/>
        <v>439017.09955468919</v>
      </c>
      <c r="AA142" s="848">
        <f t="shared" si="34"/>
        <v>448905.79246830044</v>
      </c>
      <c r="AB142" s="848">
        <f t="shared" si="34"/>
        <v>459052.57645228074</v>
      </c>
      <c r="AC142" s="848">
        <f t="shared" si="34"/>
        <v>469464.385716722</v>
      </c>
      <c r="AD142" s="848">
        <f t="shared" si="34"/>
        <v>479024.25853055541</v>
      </c>
      <c r="AE142" s="848">
        <f t="shared" si="34"/>
        <v>488806.14154780412</v>
      </c>
      <c r="AF142" s="848">
        <f t="shared" si="34"/>
        <v>498815.34146667219</v>
      </c>
      <c r="AG142" s="848">
        <f t="shared" si="34"/>
        <v>509057.29256167717</v>
      </c>
      <c r="AH142" s="848">
        <f t="shared" si="34"/>
        <v>519537.55975409853</v>
      </c>
      <c r="AI142" s="848">
        <f t="shared" si="34"/>
        <v>530261.84175634268</v>
      </c>
      <c r="AJ142" s="848">
        <f t="shared" si="34"/>
        <v>541235.97429199889</v>
      </c>
      <c r="AK142" s="848">
        <f t="shared" si="34"/>
        <v>552465.93339341483</v>
      </c>
      <c r="AL142" s="848">
        <f t="shared" si="34"/>
        <v>563957.83877865004</v>
      </c>
      <c r="AM142" s="848">
        <f t="shared" si="34"/>
        <v>575717.95730972593</v>
      </c>
      <c r="AN142" s="848">
        <f t="shared" si="34"/>
        <v>587752.706534122</v>
      </c>
      <c r="AO142" s="848">
        <f t="shared" si="34"/>
        <v>94936.777722300292</v>
      </c>
      <c r="AP142" s="848">
        <f t="shared" si="34"/>
        <v>95380.09451600966</v>
      </c>
      <c r="AQ142" s="849">
        <f t="shared" si="34"/>
        <v>95825.481421895776</v>
      </c>
    </row>
    <row r="143" spans="9:43" x14ac:dyDescent="0.2">
      <c r="I143" s="828" t="s">
        <v>1137</v>
      </c>
      <c r="J143" s="848">
        <f t="shared" ref="J143:AQ143" si="35">J138*$B$48</f>
        <v>125747.8425</v>
      </c>
      <c r="K143" s="848">
        <f t="shared" si="35"/>
        <v>129147.38237523794</v>
      </c>
      <c r="L143" s="848">
        <f t="shared" si="35"/>
        <v>132638.8273769065</v>
      </c>
      <c r="M143" s="848">
        <f t="shared" si="35"/>
        <v>180368.65618933996</v>
      </c>
      <c r="N143" s="848">
        <f t="shared" si="35"/>
        <v>229856.09175593441</v>
      </c>
      <c r="O143" s="848">
        <f t="shared" si="35"/>
        <v>234058.45458030101</v>
      </c>
      <c r="P143" s="848">
        <f t="shared" si="35"/>
        <v>238365.03267781591</v>
      </c>
      <c r="Q143" s="848">
        <f t="shared" si="35"/>
        <v>242778.59959898092</v>
      </c>
      <c r="R143" s="848">
        <f t="shared" si="35"/>
        <v>247302.00367123174</v>
      </c>
      <c r="S143" s="848">
        <f t="shared" si="35"/>
        <v>251938.17001954417</v>
      </c>
      <c r="T143" s="848">
        <f t="shared" si="35"/>
        <v>256690.102641662</v>
      </c>
      <c r="U143" s="848">
        <f t="shared" si="35"/>
        <v>261560.88653942404</v>
      </c>
      <c r="V143" s="848">
        <f t="shared" si="35"/>
        <v>266553.68990770547</v>
      </c>
      <c r="W143" s="848">
        <f t="shared" si="35"/>
        <v>271671.76638253167</v>
      </c>
      <c r="X143" s="848">
        <f t="shared" si="35"/>
        <v>276918.45734996523</v>
      </c>
      <c r="Y143" s="848">
        <f t="shared" si="35"/>
        <v>282297.19431740732</v>
      </c>
      <c r="Z143" s="848">
        <f t="shared" si="35"/>
        <v>287811.50134900189</v>
      </c>
      <c r="AA143" s="848">
        <f t="shared" si="35"/>
        <v>293464.99756687495</v>
      </c>
      <c r="AB143" s="848">
        <f t="shared" si="35"/>
        <v>299261.39971999038</v>
      </c>
      <c r="AC143" s="848">
        <f t="shared" si="35"/>
        <v>305204.52482244745</v>
      </c>
      <c r="AD143" s="848">
        <f t="shared" si="35"/>
        <v>310680.29527995898</v>
      </c>
      <c r="AE143" s="848">
        <f t="shared" si="35"/>
        <v>316279.14941680431</v>
      </c>
      <c r="AF143" s="848">
        <f t="shared" si="35"/>
        <v>322004.00954143651</v>
      </c>
      <c r="AG143" s="848">
        <f t="shared" si="35"/>
        <v>327857.86812350934</v>
      </c>
      <c r="AH143" s="848">
        <f t="shared" si="35"/>
        <v>333843.78948205221</v>
      </c>
      <c r="AI143" s="848">
        <f t="shared" si="35"/>
        <v>339964.91151428007</v>
      </c>
      <c r="AJ143" s="848">
        <f t="shared" si="35"/>
        <v>346224.4474660203</v>
      </c>
      <c r="AK143" s="848">
        <f t="shared" si="35"/>
        <v>352625.68774475629</v>
      </c>
      <c r="AL143" s="848">
        <f t="shared" si="35"/>
        <v>359172.00177631306</v>
      </c>
      <c r="AM143" s="848">
        <f t="shared" si="35"/>
        <v>365866.83990623831</v>
      </c>
      <c r="AN143" s="848">
        <f t="shared" si="35"/>
        <v>372713.73534695164</v>
      </c>
      <c r="AO143" s="848">
        <f t="shared" si="35"/>
        <v>102005.29640183708</v>
      </c>
      <c r="AP143" s="848">
        <f t="shared" si="35"/>
        <v>102481.62035159777</v>
      </c>
      <c r="AQ143" s="849">
        <f t="shared" si="35"/>
        <v>102960.16854375679</v>
      </c>
    </row>
    <row r="144" spans="9:43" x14ac:dyDescent="0.2">
      <c r="I144" s="803" t="s">
        <v>1159</v>
      </c>
      <c r="J144" s="851">
        <f t="shared" ref="J144:L144" si="36">SUM(J142:J143)</f>
        <v>354472.09875</v>
      </c>
      <c r="K144" s="851">
        <f t="shared" si="36"/>
        <v>364055.10240558884</v>
      </c>
      <c r="L144" s="851">
        <f t="shared" si="36"/>
        <v>373897.17852241476</v>
      </c>
      <c r="M144" s="851">
        <f>SUM(M142:M143)</f>
        <v>469234.33439584146</v>
      </c>
      <c r="N144" s="851">
        <f t="shared" ref="N144:AQ144" si="37">SUM(N142:N143)</f>
        <v>568051.01355618786</v>
      </c>
      <c r="O144" s="851">
        <f t="shared" si="37"/>
        <v>579524.03571589489</v>
      </c>
      <c r="P144" s="851">
        <f t="shared" si="37"/>
        <v>591289.08947505068</v>
      </c>
      <c r="Q144" s="851">
        <f t="shared" si="37"/>
        <v>603353.98509354633</v>
      </c>
      <c r="R144" s="851">
        <f t="shared" si="37"/>
        <v>615726.74358288036</v>
      </c>
      <c r="S144" s="851">
        <f t="shared" si="37"/>
        <v>628415.60240189277</v>
      </c>
      <c r="T144" s="851">
        <f t="shared" si="37"/>
        <v>641429.02130647236</v>
      </c>
      <c r="U144" s="851">
        <f t="shared" si="37"/>
        <v>654775.68835739885</v>
      </c>
      <c r="V144" s="851">
        <f t="shared" si="37"/>
        <v>668464.5260905982</v>
      </c>
      <c r="W144" s="851">
        <f t="shared" si="37"/>
        <v>682504.69785419665</v>
      </c>
      <c r="X144" s="851">
        <f t="shared" si="37"/>
        <v>696905.61431688629</v>
      </c>
      <c r="Y144" s="851">
        <f t="shared" si="37"/>
        <v>711676.94015223463</v>
      </c>
      <c r="Z144" s="851">
        <f t="shared" si="37"/>
        <v>726828.60090369103</v>
      </c>
      <c r="AA144" s="851">
        <f t="shared" si="37"/>
        <v>742370.79003517539</v>
      </c>
      <c r="AB144" s="851">
        <f t="shared" si="37"/>
        <v>758313.97617227118</v>
      </c>
      <c r="AC144" s="851">
        <f t="shared" si="37"/>
        <v>774668.91053916945</v>
      </c>
      <c r="AD144" s="851">
        <f t="shared" si="37"/>
        <v>789704.55381051439</v>
      </c>
      <c r="AE144" s="851">
        <f t="shared" si="37"/>
        <v>805085.29096460843</v>
      </c>
      <c r="AF144" s="851">
        <f t="shared" si="37"/>
        <v>820819.3510081087</v>
      </c>
      <c r="AG144" s="851">
        <f t="shared" si="37"/>
        <v>836915.16068518651</v>
      </c>
      <c r="AH144" s="851">
        <f t="shared" si="37"/>
        <v>853381.34923615074</v>
      </c>
      <c r="AI144" s="851">
        <f t="shared" si="37"/>
        <v>870226.75327062281</v>
      </c>
      <c r="AJ144" s="851">
        <f t="shared" si="37"/>
        <v>887460.42175801913</v>
      </c>
      <c r="AK144" s="851">
        <f t="shared" si="37"/>
        <v>905091.62113817106</v>
      </c>
      <c r="AL144" s="851">
        <f t="shared" si="37"/>
        <v>923129.8405549631</v>
      </c>
      <c r="AM144" s="851">
        <f t="shared" si="37"/>
        <v>941584.79721596418</v>
      </c>
      <c r="AN144" s="851">
        <f t="shared" si="37"/>
        <v>960466.44188107364</v>
      </c>
      <c r="AO144" s="851">
        <f t="shared" si="37"/>
        <v>196942.07412413738</v>
      </c>
      <c r="AP144" s="851">
        <f t="shared" si="37"/>
        <v>197861.71486760743</v>
      </c>
      <c r="AQ144" s="852">
        <f t="shared" si="37"/>
        <v>198785.64996565256</v>
      </c>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P22"/>
  <sheetViews>
    <sheetView workbookViewId="0">
      <selection activeCell="H7" sqref="H7"/>
    </sheetView>
  </sheetViews>
  <sheetFormatPr defaultRowHeight="12.75" x14ac:dyDescent="0.2"/>
  <cols>
    <col min="1" max="1" width="20" customWidth="1"/>
    <col min="2" max="255" width="8" customWidth="1"/>
  </cols>
  <sheetData>
    <row r="1" spans="1:16" ht="15.75" x14ac:dyDescent="0.25">
      <c r="A1" s="1018" t="s">
        <v>1202</v>
      </c>
      <c r="B1" s="1016"/>
      <c r="C1" s="1016"/>
      <c r="D1" s="1016"/>
      <c r="E1" s="1016"/>
      <c r="F1" s="1016"/>
    </row>
    <row r="2" spans="1:16" ht="15.75" x14ac:dyDescent="0.25">
      <c r="A2" s="1018" t="s">
        <v>1203</v>
      </c>
      <c r="B2" s="1016"/>
      <c r="C2" s="1016"/>
      <c r="D2" s="1016"/>
      <c r="E2" s="1016"/>
      <c r="F2" s="1016"/>
    </row>
    <row r="3" spans="1:16" x14ac:dyDescent="0.2">
      <c r="A3" s="1016"/>
      <c r="B3" s="1016"/>
      <c r="C3" s="1016"/>
      <c r="D3" s="1016"/>
      <c r="E3" s="1016"/>
      <c r="F3" s="1016"/>
    </row>
    <row r="4" spans="1:16" x14ac:dyDescent="0.2">
      <c r="A4" s="922" t="s">
        <v>1204</v>
      </c>
      <c r="B4" s="1015" t="s">
        <v>1205</v>
      </c>
      <c r="C4" s="1016"/>
      <c r="D4" s="1016"/>
      <c r="E4" s="1016"/>
      <c r="F4" s="1016"/>
    </row>
    <row r="5" spans="1:16" x14ac:dyDescent="0.2">
      <c r="A5" s="1019" t="s">
        <v>1206</v>
      </c>
      <c r="B5" s="1016"/>
      <c r="C5" s="1016"/>
      <c r="D5" s="1016"/>
      <c r="E5" s="1016"/>
      <c r="F5" s="1016"/>
    </row>
    <row r="6" spans="1:16" x14ac:dyDescent="0.2">
      <c r="A6" s="922" t="s">
        <v>1207</v>
      </c>
      <c r="B6" s="1015" t="s">
        <v>1208</v>
      </c>
      <c r="C6" s="1016"/>
      <c r="D6" s="1016"/>
      <c r="E6" s="1016"/>
      <c r="F6" s="1016"/>
    </row>
    <row r="7" spans="1:16" x14ac:dyDescent="0.2">
      <c r="A7" s="922" t="s">
        <v>1209</v>
      </c>
      <c r="B7" s="1015" t="s">
        <v>1210</v>
      </c>
      <c r="C7" s="1016"/>
      <c r="D7" s="1016"/>
      <c r="E7" s="1016"/>
      <c r="F7" s="1016"/>
    </row>
    <row r="8" spans="1:16" x14ac:dyDescent="0.2">
      <c r="A8" s="922" t="s">
        <v>1211</v>
      </c>
      <c r="B8" s="1015" t="s">
        <v>1212</v>
      </c>
      <c r="C8" s="1016"/>
      <c r="D8" s="1016"/>
      <c r="E8" s="1016"/>
      <c r="F8" s="1016"/>
    </row>
    <row r="9" spans="1:16" x14ac:dyDescent="0.2">
      <c r="A9" s="922" t="s">
        <v>1213</v>
      </c>
      <c r="B9" s="1017" t="s">
        <v>1214</v>
      </c>
      <c r="C9" s="1016"/>
      <c r="D9" s="1016"/>
      <c r="E9" s="1016"/>
      <c r="F9" s="1016"/>
    </row>
    <row r="11" spans="1:16" ht="13.5" thickBot="1" x14ac:dyDescent="0.25">
      <c r="A11" s="923" t="s">
        <v>1005</v>
      </c>
      <c r="B11" s="923" t="s">
        <v>1215</v>
      </c>
      <c r="C11" s="923" t="s">
        <v>1216</v>
      </c>
      <c r="D11" s="923" t="s">
        <v>1217</v>
      </c>
      <c r="E11" s="923" t="s">
        <v>1218</v>
      </c>
      <c r="F11" s="923" t="s">
        <v>1219</v>
      </c>
      <c r="G11" s="923" t="s">
        <v>1220</v>
      </c>
      <c r="H11" s="923" t="s">
        <v>1221</v>
      </c>
      <c r="I11" s="923" t="s">
        <v>1222</v>
      </c>
      <c r="J11" s="923" t="s">
        <v>1223</v>
      </c>
      <c r="K11" s="923" t="s">
        <v>1224</v>
      </c>
      <c r="L11" s="923" t="s">
        <v>1225</v>
      </c>
      <c r="M11" s="923" t="s">
        <v>1226</v>
      </c>
      <c r="N11" s="923" t="s">
        <v>188</v>
      </c>
      <c r="O11" s="923" t="s">
        <v>1227</v>
      </c>
      <c r="P11" s="923" t="s">
        <v>1228</v>
      </c>
    </row>
    <row r="12" spans="1:16" ht="13.5" thickTop="1" x14ac:dyDescent="0.2">
      <c r="A12" s="924">
        <v>2006</v>
      </c>
      <c r="B12" s="925">
        <v>191.5</v>
      </c>
      <c r="C12" s="925">
        <v>191.8</v>
      </c>
      <c r="D12" s="925">
        <v>192.8</v>
      </c>
      <c r="E12" s="925">
        <v>194.7</v>
      </c>
      <c r="F12" s="925">
        <v>195.5</v>
      </c>
      <c r="G12" s="925">
        <v>196.3</v>
      </c>
      <c r="H12" s="925">
        <v>197</v>
      </c>
      <c r="I12" s="925">
        <v>197.1</v>
      </c>
      <c r="J12" s="925">
        <v>195.8</v>
      </c>
      <c r="K12" s="925">
        <v>194.7</v>
      </c>
      <c r="L12" s="925">
        <v>194.3</v>
      </c>
      <c r="M12" s="925">
        <v>194.8</v>
      </c>
      <c r="N12" s="925">
        <v>194.7</v>
      </c>
      <c r="O12" s="925">
        <v>193.8</v>
      </c>
      <c r="P12" s="925">
        <v>195.6</v>
      </c>
    </row>
    <row r="13" spans="1:16" x14ac:dyDescent="0.2">
      <c r="A13" s="924">
        <v>2007</v>
      </c>
      <c r="B13" s="926">
        <v>195.02099999999999</v>
      </c>
      <c r="C13" s="926">
        <v>195.95</v>
      </c>
      <c r="D13" s="926">
        <v>197.904</v>
      </c>
      <c r="E13" s="926">
        <v>199.61799999999999</v>
      </c>
      <c r="F13" s="926">
        <v>200.804</v>
      </c>
      <c r="G13" s="926">
        <v>201.67500000000001</v>
      </c>
      <c r="H13" s="926">
        <v>201.571</v>
      </c>
      <c r="I13" s="926">
        <v>201.041</v>
      </c>
      <c r="J13" s="926">
        <v>201.697</v>
      </c>
      <c r="K13" s="926">
        <v>202.155</v>
      </c>
      <c r="L13" s="926">
        <v>203.43700000000001</v>
      </c>
      <c r="M13" s="926">
        <v>203.45699999999999</v>
      </c>
      <c r="N13" s="926">
        <v>200.36099999999999</v>
      </c>
      <c r="O13" s="926">
        <v>198.495</v>
      </c>
      <c r="P13" s="926">
        <v>202.226</v>
      </c>
    </row>
    <row r="14" spans="1:16" x14ac:dyDescent="0.2">
      <c r="A14" s="924">
        <v>2008</v>
      </c>
      <c r="B14" s="926">
        <v>204.51</v>
      </c>
      <c r="C14" s="926">
        <v>205.06</v>
      </c>
      <c r="D14" s="926">
        <v>206.67599999999999</v>
      </c>
      <c r="E14" s="926">
        <v>208.08500000000001</v>
      </c>
      <c r="F14" s="926">
        <v>210.006</v>
      </c>
      <c r="G14" s="926">
        <v>212.32400000000001</v>
      </c>
      <c r="H14" s="926">
        <v>213.304</v>
      </c>
      <c r="I14" s="926">
        <v>212.387</v>
      </c>
      <c r="J14" s="926">
        <v>212.65</v>
      </c>
      <c r="K14" s="926">
        <v>210.108</v>
      </c>
      <c r="L14" s="926">
        <v>205.559</v>
      </c>
      <c r="M14" s="926">
        <v>203.501</v>
      </c>
      <c r="N14" s="926">
        <v>208.68100000000001</v>
      </c>
      <c r="O14" s="926">
        <v>207.77699999999999</v>
      </c>
      <c r="P14" s="926">
        <v>209.58500000000001</v>
      </c>
    </row>
    <row r="15" spans="1:16" x14ac:dyDescent="0.2">
      <c r="A15" s="924">
        <v>2009</v>
      </c>
      <c r="B15" s="926">
        <v>204.28800000000001</v>
      </c>
      <c r="C15" s="926">
        <v>205.34299999999999</v>
      </c>
      <c r="D15" s="926">
        <v>206.001</v>
      </c>
      <c r="E15" s="926">
        <v>206.65700000000001</v>
      </c>
      <c r="F15" s="926">
        <v>207.26499999999999</v>
      </c>
      <c r="G15" s="926">
        <v>209.34299999999999</v>
      </c>
      <c r="H15" s="926">
        <v>208.81899999999999</v>
      </c>
      <c r="I15" s="926">
        <v>209</v>
      </c>
      <c r="J15" s="926">
        <v>208.91200000000001</v>
      </c>
      <c r="K15" s="926">
        <v>209.292</v>
      </c>
      <c r="L15" s="926">
        <v>209.738</v>
      </c>
      <c r="M15" s="926">
        <v>209.476</v>
      </c>
      <c r="N15" s="926">
        <v>207.845</v>
      </c>
      <c r="O15" s="926">
        <v>206.483</v>
      </c>
      <c r="P15" s="926">
        <v>209.20599999999999</v>
      </c>
    </row>
    <row r="16" spans="1:16" x14ac:dyDescent="0.2">
      <c r="A16" s="924">
        <v>2010</v>
      </c>
      <c r="B16" s="926">
        <v>210.05600000000001</v>
      </c>
      <c r="C16" s="926">
        <v>210.02</v>
      </c>
      <c r="D16" s="926">
        <v>211.21600000000001</v>
      </c>
      <c r="E16" s="926">
        <v>211.52799999999999</v>
      </c>
      <c r="F16" s="926">
        <v>211.423</v>
      </c>
      <c r="G16" s="926">
        <v>211.232</v>
      </c>
      <c r="H16" s="926">
        <v>210.988</v>
      </c>
      <c r="I16" s="926">
        <v>211.30799999999999</v>
      </c>
      <c r="J16" s="926">
        <v>211.77500000000001</v>
      </c>
      <c r="K16" s="926">
        <v>212.02600000000001</v>
      </c>
      <c r="L16" s="926">
        <v>211.99600000000001</v>
      </c>
      <c r="M16" s="926">
        <v>212.488</v>
      </c>
      <c r="N16" s="926">
        <v>211.33799999999999</v>
      </c>
      <c r="O16" s="926">
        <v>210.91300000000001</v>
      </c>
      <c r="P16" s="926">
        <v>211.76400000000001</v>
      </c>
    </row>
    <row r="17" spans="1:16" x14ac:dyDescent="0.2">
      <c r="A17" s="924">
        <v>2011</v>
      </c>
      <c r="B17" s="926">
        <v>213.589</v>
      </c>
      <c r="C17" s="926">
        <v>214.73500000000001</v>
      </c>
      <c r="D17" s="926">
        <v>217.214</v>
      </c>
      <c r="E17" s="926">
        <v>218.82</v>
      </c>
      <c r="F17" s="926">
        <v>219.82</v>
      </c>
      <c r="G17" s="926">
        <v>219.31800000000001</v>
      </c>
      <c r="H17" s="926">
        <v>219.68199999999999</v>
      </c>
      <c r="I17" s="926">
        <v>220.471</v>
      </c>
      <c r="J17" s="926">
        <v>220.37100000000001</v>
      </c>
      <c r="K17" s="926">
        <v>219.96899999999999</v>
      </c>
      <c r="L17" s="926">
        <v>219.96100000000001</v>
      </c>
      <c r="M17" s="926">
        <v>219.46899999999999</v>
      </c>
      <c r="N17" s="926">
        <v>218.61799999999999</v>
      </c>
      <c r="O17" s="926">
        <v>217.249</v>
      </c>
      <c r="P17" s="926">
        <v>219.98699999999999</v>
      </c>
    </row>
    <row r="18" spans="1:16" x14ac:dyDescent="0.2">
      <c r="A18" s="924">
        <v>2012</v>
      </c>
      <c r="B18" s="926">
        <v>220.49700000000001</v>
      </c>
      <c r="C18" s="926">
        <v>221.80199999999999</v>
      </c>
      <c r="D18" s="926">
        <v>223.31399999999999</v>
      </c>
      <c r="E18" s="926">
        <v>224.27500000000001</v>
      </c>
      <c r="F18" s="926">
        <v>223.35599999999999</v>
      </c>
      <c r="G18" s="926">
        <v>223.00399999999999</v>
      </c>
      <c r="H18" s="926">
        <v>222.667</v>
      </c>
      <c r="I18" s="926">
        <v>223.91900000000001</v>
      </c>
      <c r="J18" s="926">
        <v>225.05199999999999</v>
      </c>
      <c r="K18" s="926">
        <v>224.50399999999999</v>
      </c>
      <c r="L18" s="926">
        <v>223.404</v>
      </c>
      <c r="M18" s="926">
        <v>223.10900000000001</v>
      </c>
      <c r="N18" s="926">
        <v>223.24199999999999</v>
      </c>
      <c r="O18" s="926">
        <v>222.708</v>
      </c>
      <c r="P18" s="926">
        <v>223.77600000000001</v>
      </c>
    </row>
    <row r="19" spans="1:16" x14ac:dyDescent="0.2">
      <c r="A19" s="924">
        <v>2013</v>
      </c>
      <c r="B19" s="926">
        <v>223.93299999999999</v>
      </c>
      <c r="C19" s="926">
        <v>225.874</v>
      </c>
      <c r="D19" s="926">
        <v>226.62799999999999</v>
      </c>
      <c r="E19" s="926">
        <v>226.202</v>
      </c>
      <c r="F19" s="926">
        <v>226.28899999999999</v>
      </c>
      <c r="G19" s="926">
        <v>227.148</v>
      </c>
      <c r="H19" s="926">
        <v>227.548</v>
      </c>
      <c r="I19" s="926">
        <v>227.83699999999999</v>
      </c>
      <c r="J19" s="926">
        <v>227.876</v>
      </c>
      <c r="K19" s="926">
        <v>227.42</v>
      </c>
      <c r="L19" s="926">
        <v>226.81100000000001</v>
      </c>
      <c r="M19" s="926">
        <v>227.08199999999999</v>
      </c>
      <c r="N19" s="926">
        <v>226.721</v>
      </c>
      <c r="O19" s="926">
        <v>226.012</v>
      </c>
      <c r="P19" s="926">
        <v>227.429</v>
      </c>
    </row>
    <row r="20" spans="1:16" x14ac:dyDescent="0.2">
      <c r="A20" s="924">
        <v>2014</v>
      </c>
      <c r="B20" s="926">
        <v>227.673</v>
      </c>
      <c r="C20" s="926">
        <v>228.66399999999999</v>
      </c>
      <c r="D20" s="926">
        <v>230.095</v>
      </c>
      <c r="E20" s="926">
        <v>231.346</v>
      </c>
      <c r="F20" s="926">
        <v>231.762</v>
      </c>
      <c r="G20" s="926">
        <v>232.26900000000001</v>
      </c>
      <c r="H20" s="926">
        <v>232.01300000000001</v>
      </c>
      <c r="I20" s="926">
        <v>231.61099999999999</v>
      </c>
      <c r="J20" s="926">
        <v>231.762</v>
      </c>
      <c r="K20" s="926">
        <v>231.131</v>
      </c>
      <c r="L20" s="926">
        <v>229.845</v>
      </c>
      <c r="M20" s="926">
        <v>228.45099999999999</v>
      </c>
      <c r="N20" s="926">
        <v>230.55199999999999</v>
      </c>
      <c r="O20" s="926">
        <v>230.30199999999999</v>
      </c>
      <c r="P20" s="926">
        <v>230.80199999999999</v>
      </c>
    </row>
    <row r="21" spans="1:16" x14ac:dyDescent="0.2">
      <c r="A21" s="924">
        <v>2015</v>
      </c>
      <c r="B21" s="926">
        <v>226.85499999999999</v>
      </c>
      <c r="C21" s="926">
        <v>227.94399999999999</v>
      </c>
      <c r="D21" s="926">
        <v>229.33699999999999</v>
      </c>
      <c r="E21" s="926">
        <v>229.95699999999999</v>
      </c>
      <c r="F21" s="926">
        <v>230.886</v>
      </c>
      <c r="G21" s="926">
        <v>232.02600000000001</v>
      </c>
      <c r="H21" s="926">
        <v>231.71899999999999</v>
      </c>
      <c r="I21" s="926">
        <v>231.26</v>
      </c>
      <c r="J21" s="926">
        <v>230.91300000000001</v>
      </c>
      <c r="K21" s="926">
        <v>230.86</v>
      </c>
      <c r="L21" s="926">
        <v>230.422</v>
      </c>
      <c r="M21" s="926">
        <v>229.58099999999999</v>
      </c>
      <c r="N21" s="926">
        <v>230.14699999999999</v>
      </c>
      <c r="O21" s="926">
        <v>229.501</v>
      </c>
      <c r="P21" s="926">
        <v>230.79300000000001</v>
      </c>
    </row>
    <row r="22" spans="1:16" x14ac:dyDescent="0.2">
      <c r="A22" s="924">
        <v>2016</v>
      </c>
      <c r="B22" s="926">
        <v>229.46899999999999</v>
      </c>
      <c r="C22" s="926">
        <v>229.64599999999999</v>
      </c>
    </row>
  </sheetData>
  <mergeCells count="9">
    <mergeCell ref="B7:F7"/>
    <mergeCell ref="B8:F8"/>
    <mergeCell ref="B9:F9"/>
    <mergeCell ref="A1:F1"/>
    <mergeCell ref="A2:F2"/>
    <mergeCell ref="A3:F3"/>
    <mergeCell ref="B4:F4"/>
    <mergeCell ref="A5:F5"/>
    <mergeCell ref="B6:F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S72"/>
  <sheetViews>
    <sheetView workbookViewId="0">
      <selection activeCell="B3" sqref="B3"/>
    </sheetView>
  </sheetViews>
  <sheetFormatPr defaultRowHeight="12.75" x14ac:dyDescent="0.2"/>
  <cols>
    <col min="1" max="1" width="11" customWidth="1"/>
    <col min="2" max="2" width="30.7109375" customWidth="1"/>
    <col min="3" max="3" width="12.42578125" bestFit="1" customWidth="1"/>
    <col min="4" max="4" width="10.28515625" bestFit="1" customWidth="1"/>
    <col min="5" max="5" width="7.7109375" bestFit="1" customWidth="1"/>
    <col min="6" max="6" width="9.5703125" bestFit="1" customWidth="1"/>
    <col min="7" max="7" width="6.85546875" bestFit="1" customWidth="1"/>
    <col min="8" max="8" width="12" customWidth="1"/>
    <col min="9" max="16" width="13.7109375" customWidth="1"/>
    <col min="17" max="17" width="13" customWidth="1"/>
    <col min="18" max="19" width="11.42578125" customWidth="1"/>
    <col min="20" max="20" width="9.5703125" bestFit="1" customWidth="1"/>
    <col min="21" max="21" width="12" customWidth="1"/>
    <col min="22" max="22" width="10.42578125" bestFit="1" customWidth="1"/>
  </cols>
  <sheetData>
    <row r="1" spans="1:7" ht="17.25" x14ac:dyDescent="0.3">
      <c r="A1" s="274" t="s">
        <v>1030</v>
      </c>
    </row>
    <row r="2" spans="1:7" ht="25.5" x14ac:dyDescent="0.2">
      <c r="A2" s="275" t="s">
        <v>1029</v>
      </c>
      <c r="B2" s="275" t="s">
        <v>228</v>
      </c>
      <c r="C2" s="276" t="s">
        <v>229</v>
      </c>
      <c r="D2" s="276" t="s">
        <v>230</v>
      </c>
      <c r="E2" s="276" t="s">
        <v>231</v>
      </c>
      <c r="F2" s="276" t="s">
        <v>232</v>
      </c>
      <c r="G2" s="276" t="s">
        <v>233</v>
      </c>
    </row>
    <row r="3" spans="1:7" x14ac:dyDescent="0.2">
      <c r="A3" s="277" t="s">
        <v>466</v>
      </c>
      <c r="B3" s="277" t="str">
        <f>'Project Elements-DWC'!C27</f>
        <v>South of EW214 (Platter Road)</v>
      </c>
      <c r="C3" s="710">
        <v>27000</v>
      </c>
      <c r="D3" s="278">
        <v>304338.457521</v>
      </c>
      <c r="E3" s="278">
        <v>4854.6180270000004</v>
      </c>
      <c r="F3" s="279">
        <f>D3/E3</f>
        <v>62.69050537619156</v>
      </c>
      <c r="G3" s="280">
        <v>0.54830400000000001</v>
      </c>
    </row>
    <row r="4" spans="1:7" x14ac:dyDescent="0.2">
      <c r="A4" s="277" t="s">
        <v>467</v>
      </c>
      <c r="B4" s="277" t="str">
        <f>'Project Elements-DWC'!C28</f>
        <v>EW214 (Platter Road) to Main Street</v>
      </c>
      <c r="C4" s="710">
        <v>27000</v>
      </c>
      <c r="D4" s="278">
        <v>142977.114225</v>
      </c>
      <c r="E4" s="278">
        <v>3911.4851560000002</v>
      </c>
      <c r="F4" s="279">
        <f t="shared" ref="F4:F6" si="0">D4/E4</f>
        <v>36.553152708679228</v>
      </c>
      <c r="G4" s="280">
        <v>0.68677900000000003</v>
      </c>
    </row>
    <row r="5" spans="1:7" x14ac:dyDescent="0.2">
      <c r="A5" s="277" t="s">
        <v>468</v>
      </c>
      <c r="B5" s="277" t="str">
        <f>'Project Elements-DWC'!C29</f>
        <v>Main Street to EW211 (Choctaw Road)</v>
      </c>
      <c r="C5" s="711">
        <v>29000</v>
      </c>
      <c r="D5" s="278">
        <v>193894.943302</v>
      </c>
      <c r="E5" s="278">
        <v>4354.1367890000001</v>
      </c>
      <c r="F5" s="279">
        <f t="shared" si="0"/>
        <v>44.531201636072439</v>
      </c>
      <c r="G5" s="280">
        <v>0.79089200000000004</v>
      </c>
    </row>
    <row r="6" spans="1:7" x14ac:dyDescent="0.2">
      <c r="A6" s="277" t="s">
        <v>469</v>
      </c>
      <c r="B6" s="277" t="str">
        <f>'Project Elements-DWC'!C30</f>
        <v>North of EW211 (Choctaw Road)</v>
      </c>
      <c r="C6" s="300">
        <v>43130.764528</v>
      </c>
      <c r="D6" s="278">
        <v>158396.28598799999</v>
      </c>
      <c r="E6" s="278">
        <v>2983.2014800000002</v>
      </c>
      <c r="F6" s="279">
        <f t="shared" si="0"/>
        <v>53.096073815302603</v>
      </c>
      <c r="G6" s="280">
        <v>0.82943800000000001</v>
      </c>
    </row>
    <row r="7" spans="1:7" x14ac:dyDescent="0.2">
      <c r="C7" s="146">
        <f>SUM(C3:C6)</f>
        <v>126130.764528</v>
      </c>
      <c r="D7" s="146">
        <f>SUM(D3:D6)</f>
        <v>799606.80103600002</v>
      </c>
      <c r="E7" s="146">
        <f>SUM(E3:E6)</f>
        <v>16103.441452000001</v>
      </c>
    </row>
    <row r="8" spans="1:7" ht="17.25" x14ac:dyDescent="0.3">
      <c r="A8" s="274" t="s">
        <v>254</v>
      </c>
    </row>
    <row r="9" spans="1:7" ht="25.5" x14ac:dyDescent="0.2">
      <c r="A9" s="275" t="s">
        <v>227</v>
      </c>
      <c r="B9" s="275" t="s">
        <v>228</v>
      </c>
      <c r="C9" s="276" t="s">
        <v>229</v>
      </c>
      <c r="D9" s="276" t="s">
        <v>230</v>
      </c>
      <c r="E9" s="276" t="s">
        <v>231</v>
      </c>
      <c r="F9" s="276" t="s">
        <v>232</v>
      </c>
      <c r="G9" s="276" t="s">
        <v>233</v>
      </c>
    </row>
    <row r="10" spans="1:7" x14ac:dyDescent="0.2">
      <c r="A10" s="277" t="s">
        <v>234</v>
      </c>
      <c r="B10" s="277" t="s">
        <v>235</v>
      </c>
      <c r="C10" s="278">
        <v>35369.810834999997</v>
      </c>
      <c r="D10" s="278">
        <v>311621.80723099998</v>
      </c>
      <c r="E10" s="278">
        <v>4975.4772329999996</v>
      </c>
      <c r="F10" s="279">
        <f>D10/E10</f>
        <v>62.631541184463501</v>
      </c>
      <c r="G10" s="280">
        <v>0.56142599999999998</v>
      </c>
    </row>
    <row r="11" spans="1:7" x14ac:dyDescent="0.2">
      <c r="A11" s="277" t="s">
        <v>236</v>
      </c>
      <c r="B11" s="277" t="s">
        <v>237</v>
      </c>
      <c r="C11" s="278">
        <v>43549.301325</v>
      </c>
      <c r="D11" s="278">
        <v>128198.397289</v>
      </c>
      <c r="E11" s="278">
        <v>3470.7651169999999</v>
      </c>
      <c r="F11" s="279">
        <f t="shared" ref="F11:F19" si="1">D11/E11</f>
        <v>36.936638743162753</v>
      </c>
      <c r="G11" s="280">
        <v>0.61604300000000001</v>
      </c>
    </row>
    <row r="12" spans="1:7" x14ac:dyDescent="0.2">
      <c r="A12" s="277" t="s">
        <v>238</v>
      </c>
      <c r="B12" s="277" t="s">
        <v>239</v>
      </c>
      <c r="C12" s="300">
        <v>36421.510125000001</v>
      </c>
      <c r="D12" s="278">
        <v>136489.68594200001</v>
      </c>
      <c r="E12" s="278">
        <v>2856.789859</v>
      </c>
      <c r="F12" s="279">
        <f t="shared" si="1"/>
        <v>47.777292933186658</v>
      </c>
      <c r="G12" s="280">
        <v>0.54902099999999998</v>
      </c>
    </row>
    <row r="13" spans="1:7" x14ac:dyDescent="0.2">
      <c r="A13" s="277" t="s">
        <v>240</v>
      </c>
      <c r="B13" s="277" t="s">
        <v>241</v>
      </c>
      <c r="C13" s="300">
        <v>38376.889319000002</v>
      </c>
      <c r="D13" s="278">
        <v>140937.83874499999</v>
      </c>
      <c r="E13" s="278">
        <v>2566.2673519999998</v>
      </c>
      <c r="F13" s="279">
        <f t="shared" si="1"/>
        <v>54.919390466141891</v>
      </c>
      <c r="G13" s="280">
        <v>0.73801700000000003</v>
      </c>
    </row>
    <row r="14" spans="1:7" x14ac:dyDescent="0.2">
      <c r="A14" s="277" t="s">
        <v>242</v>
      </c>
      <c r="B14" s="277" t="s">
        <v>243</v>
      </c>
      <c r="C14" s="278">
        <v>14624.287496000001</v>
      </c>
      <c r="D14" s="278">
        <v>52483.264876000001</v>
      </c>
      <c r="E14" s="278">
        <v>1242.835781</v>
      </c>
      <c r="F14" s="279">
        <f t="shared" si="1"/>
        <v>42.228640081291644</v>
      </c>
      <c r="G14" s="280">
        <v>0.53876900000000005</v>
      </c>
    </row>
    <row r="15" spans="1:7" x14ac:dyDescent="0.2">
      <c r="A15" s="277" t="s">
        <v>244</v>
      </c>
      <c r="B15" s="277" t="s">
        <v>245</v>
      </c>
      <c r="C15" s="278">
        <v>32909.761159000001</v>
      </c>
      <c r="D15" s="278">
        <v>54524.207391999997</v>
      </c>
      <c r="E15" s="278">
        <v>1326.73966</v>
      </c>
      <c r="F15" s="279">
        <f t="shared" si="1"/>
        <v>41.096387660560325</v>
      </c>
      <c r="G15" s="280">
        <v>0.81343100000000002</v>
      </c>
    </row>
    <row r="16" spans="1:7" x14ac:dyDescent="0.2">
      <c r="A16" s="277" t="s">
        <v>246</v>
      </c>
      <c r="B16" s="277" t="s">
        <v>247</v>
      </c>
      <c r="C16" s="278">
        <v>29280.435260999999</v>
      </c>
      <c r="D16" s="294">
        <f>133227.697784/2</f>
        <v>66613.848891999995</v>
      </c>
      <c r="E16" s="278">
        <v>1116.19118</v>
      </c>
      <c r="F16" s="279">
        <f t="shared" si="1"/>
        <v>59.67960514792815</v>
      </c>
      <c r="G16" s="280">
        <v>0.61000900000000002</v>
      </c>
    </row>
    <row r="17" spans="1:19" x14ac:dyDescent="0.2">
      <c r="A17" s="277" t="s">
        <v>248</v>
      </c>
      <c r="B17" s="277" t="s">
        <v>249</v>
      </c>
      <c r="C17" s="278">
        <v>11353.471777000001</v>
      </c>
      <c r="D17" s="278">
        <v>54069.036286000002</v>
      </c>
      <c r="E17" s="278">
        <v>1127.713436</v>
      </c>
      <c r="F17" s="279">
        <f t="shared" si="1"/>
        <v>47.945723230702029</v>
      </c>
      <c r="G17" s="280">
        <v>0.56767400000000001</v>
      </c>
    </row>
    <row r="18" spans="1:19" x14ac:dyDescent="0.2">
      <c r="A18" s="277" t="s">
        <v>250</v>
      </c>
      <c r="B18" s="277" t="s">
        <v>251</v>
      </c>
      <c r="C18" s="278">
        <v>19520.728606000001</v>
      </c>
      <c r="D18" s="278">
        <v>51186.527765999999</v>
      </c>
      <c r="E18" s="278">
        <v>1155.167052</v>
      </c>
      <c r="F18" s="279">
        <f t="shared" si="1"/>
        <v>44.310931200278034</v>
      </c>
      <c r="G18" s="280">
        <v>0.37417099999999998</v>
      </c>
    </row>
    <row r="19" spans="1:19" x14ac:dyDescent="0.2">
      <c r="A19" s="277" t="s">
        <v>252</v>
      </c>
      <c r="B19" s="277" t="s">
        <v>253</v>
      </c>
      <c r="C19" s="278">
        <v>7095.4716669999998</v>
      </c>
      <c r="D19" s="278">
        <v>54583.676394000002</v>
      </c>
      <c r="E19" s="278">
        <v>1024.4599539999999</v>
      </c>
      <c r="F19" s="279">
        <f t="shared" si="1"/>
        <v>53.280439299631233</v>
      </c>
      <c r="G19" s="280">
        <v>0.26486300000000002</v>
      </c>
    </row>
    <row r="20" spans="1:19" x14ac:dyDescent="0.2">
      <c r="C20" s="146">
        <f>SUM(C10:C19)</f>
        <v>268501.66756999999</v>
      </c>
      <c r="D20" s="146">
        <f>SUM(D10:D19)</f>
        <v>1050708.2908129999</v>
      </c>
      <c r="E20" s="146">
        <f>SUM(E10:E19)</f>
        <v>20862.406624000003</v>
      </c>
      <c r="G20" s="206">
        <f>D20/D7</f>
        <v>1.3140312081533869</v>
      </c>
      <c r="H20" s="358">
        <f>E20/E7</f>
        <v>1.2955247290577725</v>
      </c>
      <c r="I20" s="146">
        <f>E7-E20</f>
        <v>-4758.965172000002</v>
      </c>
      <c r="J20" s="146">
        <f>D20-D7</f>
        <v>251101.48977699992</v>
      </c>
    </row>
    <row r="21" spans="1:19" ht="17.25" x14ac:dyDescent="0.3">
      <c r="A21" s="274" t="s">
        <v>255</v>
      </c>
    </row>
    <row r="22" spans="1:19" ht="25.5" x14ac:dyDescent="0.2">
      <c r="A22" s="275" t="s">
        <v>227</v>
      </c>
      <c r="B22" s="275" t="s">
        <v>228</v>
      </c>
      <c r="C22" s="276" t="s">
        <v>229</v>
      </c>
      <c r="D22" s="276" t="s">
        <v>230</v>
      </c>
      <c r="E22" s="276" t="s">
        <v>231</v>
      </c>
      <c r="F22" s="276" t="s">
        <v>232</v>
      </c>
      <c r="G22" s="276" t="s">
        <v>233</v>
      </c>
      <c r="I22" s="281" t="s">
        <v>256</v>
      </c>
      <c r="J22" s="281" t="s">
        <v>234</v>
      </c>
      <c r="K22" s="281" t="s">
        <v>236</v>
      </c>
      <c r="L22" s="281" t="s">
        <v>238</v>
      </c>
      <c r="M22" s="281" t="s">
        <v>240</v>
      </c>
      <c r="N22" s="281" t="s">
        <v>242</v>
      </c>
      <c r="O22" s="281" t="s">
        <v>244</v>
      </c>
      <c r="P22" s="281" t="s">
        <v>246</v>
      </c>
      <c r="Q22" s="281" t="s">
        <v>248</v>
      </c>
      <c r="R22" s="281" t="s">
        <v>250</v>
      </c>
      <c r="S22" s="281" t="s">
        <v>252</v>
      </c>
    </row>
    <row r="23" spans="1:19" x14ac:dyDescent="0.2">
      <c r="A23" s="277" t="s">
        <v>234</v>
      </c>
      <c r="B23" s="277" t="s">
        <v>235</v>
      </c>
      <c r="C23" s="278">
        <f t="shared" ref="C23:G26" si="2">C10-C3</f>
        <v>8369.8108349999966</v>
      </c>
      <c r="D23" s="278">
        <f t="shared" si="2"/>
        <v>7283.3497099999804</v>
      </c>
      <c r="E23" s="278">
        <f t="shared" si="2"/>
        <v>120.85920599999918</v>
      </c>
      <c r="F23" s="280">
        <f t="shared" si="2"/>
        <v>-5.8964191728058779E-2</v>
      </c>
      <c r="G23" s="280">
        <f t="shared" si="2"/>
        <v>1.3121999999999967E-2</v>
      </c>
      <c r="I23" s="281" t="s">
        <v>257</v>
      </c>
      <c r="J23" s="282">
        <v>74871</v>
      </c>
      <c r="K23" s="283">
        <v>106885</v>
      </c>
      <c r="L23" s="283">
        <v>76023</v>
      </c>
      <c r="M23" s="283">
        <v>43027</v>
      </c>
      <c r="N23" s="283">
        <v>106058</v>
      </c>
      <c r="O23" s="282">
        <v>53896</v>
      </c>
      <c r="P23" s="282">
        <v>21101</v>
      </c>
      <c r="Q23" s="282">
        <v>25837</v>
      </c>
      <c r="R23" s="281">
        <v>79644</v>
      </c>
      <c r="S23" s="281">
        <v>110958</v>
      </c>
    </row>
    <row r="24" spans="1:19" x14ac:dyDescent="0.2">
      <c r="A24" s="277" t="s">
        <v>236</v>
      </c>
      <c r="B24" s="277" t="s">
        <v>237</v>
      </c>
      <c r="C24" s="278">
        <f t="shared" si="2"/>
        <v>16549.301325</v>
      </c>
      <c r="D24" s="278">
        <f t="shared" si="2"/>
        <v>-14778.716935999997</v>
      </c>
      <c r="E24" s="278">
        <f t="shared" si="2"/>
        <v>-440.72003900000027</v>
      </c>
      <c r="F24" s="280">
        <f t="shared" si="2"/>
        <v>0.38348603448352492</v>
      </c>
      <c r="G24" s="280">
        <f t="shared" si="2"/>
        <v>-7.0736000000000021E-2</v>
      </c>
      <c r="I24" s="281" t="s">
        <v>258</v>
      </c>
      <c r="J24" s="282">
        <v>8.8103890000000007</v>
      </c>
      <c r="K24" s="282">
        <v>2.9437530000000001</v>
      </c>
      <c r="L24" s="282">
        <v>3.7475019999999999</v>
      </c>
      <c r="M24" s="282">
        <v>3.672466</v>
      </c>
      <c r="N24" s="282">
        <v>3.5887739999999999</v>
      </c>
      <c r="O24" s="282">
        <v>1.656779</v>
      </c>
      <c r="P24" s="282">
        <v>4.5500590000000001</v>
      </c>
      <c r="Q24" s="282">
        <v>4.7623350000000002</v>
      </c>
      <c r="R24" s="281">
        <v>2.622163</v>
      </c>
      <c r="S24" s="281">
        <v>7.6927479999999999</v>
      </c>
    </row>
    <row r="25" spans="1:19" x14ac:dyDescent="0.2">
      <c r="A25" s="277" t="s">
        <v>238</v>
      </c>
      <c r="B25" s="277" t="s">
        <v>239</v>
      </c>
      <c r="C25" s="278">
        <f t="shared" si="2"/>
        <v>7421.5101250000007</v>
      </c>
      <c r="D25" s="278">
        <f t="shared" si="2"/>
        <v>-57405.257359999989</v>
      </c>
      <c r="E25" s="278">
        <f t="shared" si="2"/>
        <v>-1497.3469300000002</v>
      </c>
      <c r="F25" s="280">
        <f t="shared" si="2"/>
        <v>3.2460912971142193</v>
      </c>
      <c r="G25" s="280">
        <f t="shared" si="2"/>
        <v>-0.24187100000000006</v>
      </c>
      <c r="I25" s="281" t="s">
        <v>259</v>
      </c>
      <c r="J25" s="282">
        <v>3</v>
      </c>
      <c r="K25" s="282">
        <v>-1</v>
      </c>
      <c r="L25" s="282">
        <v>0</v>
      </c>
      <c r="M25" s="282">
        <v>0</v>
      </c>
      <c r="N25" s="282">
        <v>-1</v>
      </c>
      <c r="O25" s="282">
        <v>0</v>
      </c>
      <c r="P25" s="282">
        <v>0</v>
      </c>
      <c r="Q25" s="282">
        <v>0</v>
      </c>
      <c r="R25" s="281">
        <v>1</v>
      </c>
      <c r="S25" s="281">
        <v>0</v>
      </c>
    </row>
    <row r="26" spans="1:19" x14ac:dyDescent="0.2">
      <c r="A26" s="277" t="s">
        <v>240</v>
      </c>
      <c r="B26" s="277" t="s">
        <v>241</v>
      </c>
      <c r="C26" s="278">
        <f t="shared" si="2"/>
        <v>-4753.875208999998</v>
      </c>
      <c r="D26" s="278">
        <f t="shared" si="2"/>
        <v>-17458.447243000002</v>
      </c>
      <c r="E26" s="278">
        <f t="shared" si="2"/>
        <v>-416.93412800000033</v>
      </c>
      <c r="F26" s="280">
        <f t="shared" si="2"/>
        <v>1.8233166508392884</v>
      </c>
      <c r="G26" s="280">
        <f t="shared" si="2"/>
        <v>-9.1420999999999975E-2</v>
      </c>
      <c r="I26" s="281" t="s">
        <v>260</v>
      </c>
      <c r="J26" s="282">
        <v>39</v>
      </c>
      <c r="K26" s="282">
        <v>52</v>
      </c>
      <c r="L26" s="282">
        <v>40</v>
      </c>
      <c r="M26" s="282">
        <v>20</v>
      </c>
      <c r="N26" s="282">
        <v>28</v>
      </c>
      <c r="O26" s="282">
        <v>12</v>
      </c>
      <c r="P26" s="282">
        <v>14</v>
      </c>
      <c r="Q26" s="282">
        <v>8</v>
      </c>
      <c r="R26" s="281">
        <v>26</v>
      </c>
      <c r="S26" s="281">
        <v>25</v>
      </c>
    </row>
    <row r="27" spans="1:19" x14ac:dyDescent="0.2">
      <c r="A27" s="277" t="s">
        <v>242</v>
      </c>
      <c r="B27" s="277" t="s">
        <v>243</v>
      </c>
      <c r="C27" s="278" t="e">
        <f>C14-#REF!</f>
        <v>#REF!</v>
      </c>
      <c r="D27" s="278" t="e">
        <f>D14-#REF!</f>
        <v>#REF!</v>
      </c>
      <c r="E27" s="278" t="e">
        <f>E14-#REF!</f>
        <v>#REF!</v>
      </c>
      <c r="F27" s="280" t="e">
        <f>F14-#REF!</f>
        <v>#REF!</v>
      </c>
      <c r="G27" s="280" t="e">
        <f>G14-#REF!</f>
        <v>#REF!</v>
      </c>
      <c r="I27" s="281" t="s">
        <v>261</v>
      </c>
      <c r="J27" s="282">
        <v>30</v>
      </c>
      <c r="K27" s="282">
        <v>55</v>
      </c>
      <c r="L27" s="282">
        <v>40</v>
      </c>
      <c r="M27" s="282">
        <v>20</v>
      </c>
      <c r="N27" s="282">
        <v>30</v>
      </c>
      <c r="O27" s="282">
        <v>12</v>
      </c>
      <c r="P27" s="282">
        <v>14</v>
      </c>
      <c r="Q27" s="282">
        <v>8</v>
      </c>
      <c r="R27" s="281">
        <v>24</v>
      </c>
      <c r="S27" s="281">
        <v>25</v>
      </c>
    </row>
    <row r="28" spans="1:19" x14ac:dyDescent="0.2">
      <c r="A28" s="277" t="s">
        <v>244</v>
      </c>
      <c r="B28" s="277" t="s">
        <v>245</v>
      </c>
      <c r="C28" s="278" t="e">
        <f>C15-#REF!</f>
        <v>#REF!</v>
      </c>
      <c r="D28" s="278" t="e">
        <f>D15-#REF!</f>
        <v>#REF!</v>
      </c>
      <c r="E28" s="278" t="e">
        <f>E15-#REF!</f>
        <v>#REF!</v>
      </c>
      <c r="F28" s="280" t="e">
        <f>F15-#REF!</f>
        <v>#REF!</v>
      </c>
      <c r="G28" s="280" t="e">
        <f>G15-#REF!</f>
        <v>#REF!</v>
      </c>
      <c r="I28" s="281" t="s">
        <v>262</v>
      </c>
      <c r="J28" s="282">
        <v>1380</v>
      </c>
      <c r="K28" s="282">
        <v>800</v>
      </c>
      <c r="L28" s="282">
        <v>860</v>
      </c>
      <c r="M28" s="282">
        <v>560</v>
      </c>
      <c r="N28" s="282">
        <v>940</v>
      </c>
      <c r="O28" s="282">
        <v>335</v>
      </c>
      <c r="P28" s="282">
        <v>315</v>
      </c>
      <c r="Q28" s="282">
        <v>420</v>
      </c>
      <c r="R28" s="281">
        <v>690</v>
      </c>
      <c r="S28" s="281">
        <v>1050</v>
      </c>
    </row>
    <row r="29" spans="1:19" x14ac:dyDescent="0.2">
      <c r="A29" s="277" t="s">
        <v>246</v>
      </c>
      <c r="B29" s="277" t="s">
        <v>247</v>
      </c>
      <c r="C29" s="278" t="e">
        <f>C16-#REF!</f>
        <v>#REF!</v>
      </c>
      <c r="D29" s="278" t="e">
        <f>D16-#REF!</f>
        <v>#REF!</v>
      </c>
      <c r="E29" s="278" t="e">
        <f>E16-#REF!</f>
        <v>#REF!</v>
      </c>
      <c r="F29" s="280" t="e">
        <f>F16-#REF!</f>
        <v>#REF!</v>
      </c>
      <c r="G29" s="280" t="e">
        <f>G16-#REF!</f>
        <v>#REF!</v>
      </c>
      <c r="I29" s="281" t="s">
        <v>263</v>
      </c>
      <c r="J29" s="282">
        <v>48300</v>
      </c>
      <c r="K29" s="282">
        <v>31000</v>
      </c>
      <c r="L29" s="282">
        <v>27400</v>
      </c>
      <c r="M29" s="282">
        <v>13000</v>
      </c>
      <c r="N29" s="282">
        <v>26900</v>
      </c>
      <c r="O29" s="282">
        <v>10200</v>
      </c>
      <c r="P29" s="282">
        <v>8400</v>
      </c>
      <c r="Q29" s="282">
        <v>8000</v>
      </c>
      <c r="R29" s="281">
        <v>22400</v>
      </c>
      <c r="S29" s="281">
        <v>29000</v>
      </c>
    </row>
    <row r="30" spans="1:19" x14ac:dyDescent="0.2">
      <c r="A30" s="277" t="s">
        <v>248</v>
      </c>
      <c r="B30" s="277" t="s">
        <v>249</v>
      </c>
      <c r="C30" s="278" t="e">
        <f>C17-#REF!</f>
        <v>#REF!</v>
      </c>
      <c r="D30" s="278" t="e">
        <f>D17-#REF!</f>
        <v>#REF!</v>
      </c>
      <c r="E30" s="278" t="e">
        <f>E17-#REF!</f>
        <v>#REF!</v>
      </c>
      <c r="F30" s="280" t="e">
        <f>F17-#REF!</f>
        <v>#REF!</v>
      </c>
      <c r="G30" s="280" t="e">
        <f>G17-#REF!</f>
        <v>#REF!</v>
      </c>
      <c r="I30" s="281" t="s">
        <v>264</v>
      </c>
      <c r="J30" s="282">
        <v>253</v>
      </c>
      <c r="K30" s="282">
        <v>286</v>
      </c>
      <c r="L30" s="282">
        <v>247</v>
      </c>
      <c r="M30" s="282">
        <v>20</v>
      </c>
      <c r="N30" s="282">
        <v>336</v>
      </c>
      <c r="O30" s="282">
        <v>126</v>
      </c>
      <c r="P30" s="282">
        <v>98</v>
      </c>
      <c r="Q30" s="282">
        <v>32</v>
      </c>
      <c r="R30" s="281">
        <v>208</v>
      </c>
      <c r="S30" s="281">
        <v>226</v>
      </c>
    </row>
    <row r="31" spans="1:19" x14ac:dyDescent="0.2">
      <c r="A31" s="277" t="s">
        <v>250</v>
      </c>
      <c r="B31" s="277" t="s">
        <v>251</v>
      </c>
      <c r="C31" s="278" t="e">
        <f>C18-#REF!</f>
        <v>#REF!</v>
      </c>
      <c r="D31" s="278" t="e">
        <f>D18-#REF!</f>
        <v>#REF!</v>
      </c>
      <c r="E31" s="278" t="e">
        <f>E18-#REF!</f>
        <v>#REF!</v>
      </c>
      <c r="F31" s="280" t="e">
        <f>F18-#REF!</f>
        <v>#REF!</v>
      </c>
      <c r="G31" s="280" t="e">
        <f>G18-#REF!</f>
        <v>#REF!</v>
      </c>
      <c r="I31" s="281" t="s">
        <v>265</v>
      </c>
      <c r="J31" s="282">
        <v>23</v>
      </c>
      <c r="K31" s="282">
        <v>88</v>
      </c>
      <c r="L31" s="282">
        <v>76</v>
      </c>
      <c r="M31" s="282">
        <v>50</v>
      </c>
      <c r="N31" s="282">
        <v>144</v>
      </c>
      <c r="O31" s="282">
        <v>54</v>
      </c>
      <c r="P31" s="282">
        <v>42</v>
      </c>
      <c r="Q31" s="282">
        <v>24</v>
      </c>
      <c r="R31" s="281">
        <v>64</v>
      </c>
      <c r="S31" s="281">
        <v>106</v>
      </c>
    </row>
    <row r="32" spans="1:19" x14ac:dyDescent="0.2">
      <c r="A32" s="277" t="s">
        <v>252</v>
      </c>
      <c r="B32" s="277" t="s">
        <v>253</v>
      </c>
      <c r="C32" s="278" t="e">
        <f>C19-#REF!</f>
        <v>#REF!</v>
      </c>
      <c r="D32" s="278" t="e">
        <f>D19-#REF!</f>
        <v>#REF!</v>
      </c>
      <c r="E32" s="278" t="e">
        <f>E19-#REF!</f>
        <v>#REF!</v>
      </c>
      <c r="F32" s="280" t="e">
        <f>F19-#REF!</f>
        <v>#REF!</v>
      </c>
      <c r="G32" s="280" t="e">
        <f>G19-#REF!</f>
        <v>#REF!</v>
      </c>
      <c r="I32" s="281" t="s">
        <v>266</v>
      </c>
      <c r="J32" s="282">
        <v>69</v>
      </c>
      <c r="K32" s="282">
        <v>122</v>
      </c>
      <c r="L32" s="282">
        <v>80</v>
      </c>
      <c r="M32" s="282">
        <v>40</v>
      </c>
      <c r="N32" s="282">
        <v>62</v>
      </c>
      <c r="O32" s="282">
        <v>24</v>
      </c>
      <c r="P32" s="282">
        <v>28</v>
      </c>
      <c r="Q32" s="282">
        <v>16</v>
      </c>
      <c r="R32" s="281">
        <v>59</v>
      </c>
      <c r="S32" s="281">
        <v>56</v>
      </c>
    </row>
    <row r="33" spans="3:19" x14ac:dyDescent="0.2">
      <c r="C33" s="146" t="e">
        <f>SUM(C23:C32)</f>
        <v>#REF!</v>
      </c>
      <c r="D33" s="146" t="e">
        <f>SUM(D23:D32)</f>
        <v>#REF!</v>
      </c>
      <c r="E33" s="146" t="e">
        <f>SUM(E23:E32)</f>
        <v>#REF!</v>
      </c>
      <c r="I33" s="281" t="s">
        <v>267</v>
      </c>
      <c r="J33" s="282">
        <v>81900</v>
      </c>
      <c r="K33" s="282">
        <v>73200</v>
      </c>
      <c r="L33" s="282">
        <v>57600</v>
      </c>
      <c r="M33" s="282">
        <v>26000</v>
      </c>
      <c r="N33" s="282">
        <v>31800</v>
      </c>
      <c r="O33" s="282">
        <v>13800</v>
      </c>
      <c r="P33" s="282">
        <v>16800</v>
      </c>
      <c r="Q33" s="282">
        <v>8000</v>
      </c>
      <c r="R33" s="281">
        <v>36400</v>
      </c>
      <c r="S33" s="281">
        <v>33200</v>
      </c>
    </row>
    <row r="34" spans="3:19" x14ac:dyDescent="0.2">
      <c r="I34" s="281" t="s">
        <v>268</v>
      </c>
      <c r="J34" s="282">
        <v>63000</v>
      </c>
      <c r="K34" s="282">
        <v>77400</v>
      </c>
      <c r="L34" s="282">
        <v>57600</v>
      </c>
      <c r="M34" s="282">
        <v>26000</v>
      </c>
      <c r="N34" s="282">
        <v>34000</v>
      </c>
      <c r="O34" s="282">
        <v>13800</v>
      </c>
      <c r="P34" s="282">
        <v>16800</v>
      </c>
      <c r="Q34" s="282">
        <v>8000</v>
      </c>
      <c r="R34" s="281">
        <v>33600</v>
      </c>
      <c r="S34" s="281">
        <v>33200</v>
      </c>
    </row>
    <row r="35" spans="3:19" x14ac:dyDescent="0.2">
      <c r="I35" s="281" t="s">
        <v>269</v>
      </c>
      <c r="J35" s="282">
        <v>8.1326669999999996</v>
      </c>
      <c r="K35" s="282">
        <v>4.373907</v>
      </c>
      <c r="L35" s="282">
        <v>4.4052899999999999</v>
      </c>
      <c r="M35" s="282">
        <v>3.6527970000000001</v>
      </c>
      <c r="N35" s="282">
        <v>4.8415229999999996</v>
      </c>
      <c r="O35" s="282">
        <v>2.1762589999999999</v>
      </c>
      <c r="P35" s="282">
        <v>4.0141669999999996</v>
      </c>
      <c r="Q35" s="282">
        <v>4.9823139999999997</v>
      </c>
      <c r="R35" s="281">
        <v>3.380776</v>
      </c>
      <c r="S35" s="281">
        <v>8.2941909999999996</v>
      </c>
    </row>
    <row r="36" spans="3:19" x14ac:dyDescent="0.2">
      <c r="I36" s="281" t="s">
        <v>270</v>
      </c>
      <c r="J36" s="282">
        <v>230</v>
      </c>
      <c r="K36" s="282">
        <v>132</v>
      </c>
      <c r="L36" s="282">
        <v>114</v>
      </c>
      <c r="M36" s="282">
        <v>60</v>
      </c>
      <c r="N36" s="282">
        <v>144</v>
      </c>
      <c r="O36" s="282">
        <v>54</v>
      </c>
      <c r="P36" s="282">
        <v>42</v>
      </c>
      <c r="Q36" s="282">
        <v>48</v>
      </c>
      <c r="R36" s="281">
        <v>96</v>
      </c>
      <c r="S36" s="281">
        <v>132</v>
      </c>
    </row>
    <row r="37" spans="3:19" x14ac:dyDescent="0.2">
      <c r="I37" s="281" t="s">
        <v>271</v>
      </c>
      <c r="J37" s="282"/>
      <c r="K37" s="282"/>
      <c r="L37" s="282"/>
      <c r="M37" s="282"/>
      <c r="N37" s="282"/>
      <c r="O37" s="282"/>
      <c r="P37" s="282"/>
      <c r="Q37" s="282"/>
      <c r="R37" s="281"/>
      <c r="S37" s="281"/>
    </row>
    <row r="38" spans="3:19" x14ac:dyDescent="0.2">
      <c r="I38" s="281" t="s">
        <v>272</v>
      </c>
      <c r="J38" s="282"/>
      <c r="K38" s="282"/>
      <c r="L38" s="282">
        <v>7</v>
      </c>
      <c r="M38" s="282"/>
      <c r="N38" s="282"/>
      <c r="O38" s="282">
        <v>3</v>
      </c>
      <c r="P38" s="282"/>
      <c r="Q38" s="282">
        <v>4</v>
      </c>
      <c r="R38" s="281"/>
      <c r="S38" s="281">
        <v>7</v>
      </c>
    </row>
    <row r="39" spans="3:19" x14ac:dyDescent="0.2">
      <c r="I39" s="281" t="s">
        <v>273</v>
      </c>
      <c r="J39" s="283">
        <v>175100</v>
      </c>
      <c r="K39" s="283">
        <v>90200</v>
      </c>
      <c r="L39" s="283">
        <v>186700</v>
      </c>
      <c r="M39" s="283"/>
      <c r="N39" s="283">
        <v>57500</v>
      </c>
      <c r="O39" s="283">
        <v>38500</v>
      </c>
      <c r="P39" s="283">
        <v>6400</v>
      </c>
      <c r="Q39" s="282">
        <v>3100</v>
      </c>
      <c r="R39" s="281">
        <v>19100</v>
      </c>
      <c r="S39" s="281">
        <v>32200</v>
      </c>
    </row>
    <row r="40" spans="3:19" x14ac:dyDescent="0.2">
      <c r="I40" s="281" t="s">
        <v>274</v>
      </c>
      <c r="J40" s="283">
        <v>757974.49070199998</v>
      </c>
      <c r="K40" s="283">
        <v>778871.88746799994</v>
      </c>
      <c r="L40" s="283">
        <v>522861.61854400003</v>
      </c>
      <c r="M40" s="283">
        <v>456765.811728</v>
      </c>
      <c r="N40" s="283">
        <v>378123.95573099999</v>
      </c>
      <c r="O40" s="283">
        <v>259298.65806300001</v>
      </c>
      <c r="P40" s="283">
        <v>125493.475853</v>
      </c>
      <c r="Q40" s="282">
        <v>74002.873147000006</v>
      </c>
      <c r="R40" s="281">
        <v>314096.46834000002</v>
      </c>
      <c r="S40" s="281">
        <v>227158.22796700001</v>
      </c>
    </row>
    <row r="41" spans="3:19" x14ac:dyDescent="0.2">
      <c r="I41" s="281" t="s">
        <v>275</v>
      </c>
      <c r="J41" s="283">
        <v>302615.12990499998</v>
      </c>
      <c r="K41" s="283">
        <v>114572.66703300001</v>
      </c>
      <c r="L41" s="283">
        <v>110648.438948</v>
      </c>
      <c r="M41" s="283">
        <v>168489.66678</v>
      </c>
      <c r="N41" s="283">
        <v>60707.483563000002</v>
      </c>
      <c r="O41" s="283">
        <v>62619.840154999998</v>
      </c>
      <c r="P41" s="283">
        <v>217424.33677200001</v>
      </c>
      <c r="Q41" s="282">
        <v>42293.389295000001</v>
      </c>
      <c r="R41" s="281">
        <v>58870.177990999997</v>
      </c>
      <c r="S41" s="281">
        <v>68603.166163999995</v>
      </c>
    </row>
    <row r="42" spans="3:19" x14ac:dyDescent="0.2">
      <c r="I42" s="281" t="s">
        <v>276</v>
      </c>
      <c r="J42" s="283">
        <v>4825.8765160000003</v>
      </c>
      <c r="K42" s="283">
        <v>3071.8570610000002</v>
      </c>
      <c r="L42" s="283">
        <v>2281.5932630000002</v>
      </c>
      <c r="M42" s="283">
        <v>3236.149809</v>
      </c>
      <c r="N42" s="283">
        <v>1458.594652</v>
      </c>
      <c r="O42" s="283">
        <v>1585.45389</v>
      </c>
      <c r="P42" s="283">
        <v>986.79791299999999</v>
      </c>
      <c r="Q42" s="282">
        <v>782.79431599999998</v>
      </c>
      <c r="R42" s="281">
        <v>1337.6149109999999</v>
      </c>
      <c r="S42" s="281">
        <v>1315.9584930000001</v>
      </c>
    </row>
    <row r="43" spans="3:19" x14ac:dyDescent="0.2">
      <c r="I43" s="281" t="s">
        <v>277</v>
      </c>
      <c r="J43" s="283">
        <v>8.4179390000000005</v>
      </c>
      <c r="K43" s="283">
        <v>4.7111780000000003</v>
      </c>
      <c r="L43" s="283">
        <v>4.6199399999999997</v>
      </c>
      <c r="M43" s="283">
        <v>4.223535</v>
      </c>
      <c r="N43" s="283">
        <v>5.2369880000000002</v>
      </c>
      <c r="O43" s="283">
        <v>2.5796860000000001</v>
      </c>
      <c r="P43" s="283">
        <v>4.3769499999999999</v>
      </c>
      <c r="Q43" s="282">
        <v>5.2178940000000003</v>
      </c>
      <c r="R43" s="281">
        <v>3.5483549999999999</v>
      </c>
      <c r="S43" s="281">
        <v>8.5679040000000004</v>
      </c>
    </row>
    <row r="44" spans="3:19" x14ac:dyDescent="0.2">
      <c r="I44" s="281" t="s">
        <v>278</v>
      </c>
      <c r="J44" s="283">
        <v>766658.21820300003</v>
      </c>
      <c r="K44" s="283">
        <v>984525.96331300004</v>
      </c>
      <c r="L44" s="283">
        <v>882188.70314200001</v>
      </c>
      <c r="M44" s="283">
        <v>431620.351922</v>
      </c>
      <c r="N44" s="283">
        <v>222858.06069000001</v>
      </c>
      <c r="O44" s="283">
        <v>148298.668676</v>
      </c>
      <c r="P44" s="283">
        <v>47526.540214000001</v>
      </c>
      <c r="Q44" s="282">
        <v>66452.542061999993</v>
      </c>
      <c r="R44" s="281">
        <v>269399.36711300001</v>
      </c>
      <c r="S44" s="281">
        <v>249659.807795</v>
      </c>
    </row>
    <row r="45" spans="3:19" x14ac:dyDescent="0.2">
      <c r="I45" s="281" t="s">
        <v>279</v>
      </c>
      <c r="J45" s="283">
        <v>304338.457521</v>
      </c>
      <c r="K45" s="283">
        <v>142977.114225</v>
      </c>
      <c r="L45" s="283">
        <v>193894.943302</v>
      </c>
      <c r="M45" s="283">
        <v>158396.28598799999</v>
      </c>
      <c r="N45" s="283">
        <v>36573.947702999998</v>
      </c>
      <c r="O45" s="283">
        <v>32647.670482000001</v>
      </c>
      <c r="P45" s="283">
        <v>7965.4390839999996</v>
      </c>
      <c r="Q45" s="282">
        <v>37876.944898000002</v>
      </c>
      <c r="R45" s="281">
        <v>49009.174937999996</v>
      </c>
      <c r="S45" s="281">
        <v>81692.571481999999</v>
      </c>
    </row>
    <row r="46" spans="3:19" x14ac:dyDescent="0.2">
      <c r="I46" s="281" t="s">
        <v>280</v>
      </c>
      <c r="J46" s="283">
        <v>4854.6180270000004</v>
      </c>
      <c r="K46" s="283">
        <v>3911.4851560000002</v>
      </c>
      <c r="L46" s="283">
        <v>4354.1367890000001</v>
      </c>
      <c r="M46" s="283">
        <v>2983.2014800000002</v>
      </c>
      <c r="N46" s="283">
        <v>850.42837799999995</v>
      </c>
      <c r="O46" s="283">
        <v>744.04862100000003</v>
      </c>
      <c r="P46" s="283">
        <v>178.680589</v>
      </c>
      <c r="Q46" s="282">
        <v>690.47078899999997</v>
      </c>
      <c r="R46" s="281">
        <v>1104.9231749999999</v>
      </c>
      <c r="S46" s="281">
        <v>1563.198294</v>
      </c>
    </row>
    <row r="47" spans="3:19" x14ac:dyDescent="0.2">
      <c r="I47" s="281" t="s">
        <v>281</v>
      </c>
      <c r="J47" s="282">
        <v>8.4228349999999992</v>
      </c>
      <c r="K47" s="282">
        <v>4.8116750000000001</v>
      </c>
      <c r="L47" s="282">
        <v>5.0259260000000001</v>
      </c>
      <c r="M47" s="282">
        <v>4.1404069999999997</v>
      </c>
      <c r="N47" s="282">
        <v>5.0568099999999996</v>
      </c>
      <c r="O47" s="282">
        <v>2.2994789999999998</v>
      </c>
      <c r="P47" s="282">
        <v>3.3400439999999998</v>
      </c>
      <c r="Q47" s="282">
        <v>5.1638310000000001</v>
      </c>
      <c r="R47" s="281">
        <v>3.51952</v>
      </c>
      <c r="S47" s="281">
        <v>8.6506729999999994</v>
      </c>
    </row>
    <row r="48" spans="3:19" x14ac:dyDescent="0.2">
      <c r="I48" s="281" t="s">
        <v>282</v>
      </c>
      <c r="J48" s="282">
        <v>12.169178</v>
      </c>
      <c r="K48" s="282">
        <v>14.493487</v>
      </c>
      <c r="L48" s="282">
        <v>14.732752</v>
      </c>
      <c r="M48" s="282">
        <v>8.3003909999999994</v>
      </c>
      <c r="N48" s="282">
        <v>8.7072540000000007</v>
      </c>
      <c r="O48" s="282">
        <v>4.8665250000000002</v>
      </c>
      <c r="P48" s="282">
        <v>0.99013600000000002</v>
      </c>
      <c r="Q48" s="282">
        <v>3.3226270000000002</v>
      </c>
      <c r="R48" s="281">
        <v>6.2771619999999997</v>
      </c>
      <c r="S48" s="281">
        <v>8.5034010000000002</v>
      </c>
    </row>
    <row r="49" spans="9:19" x14ac:dyDescent="0.2">
      <c r="I49" s="281" t="s">
        <v>283</v>
      </c>
      <c r="J49" s="282">
        <v>23</v>
      </c>
      <c r="K49" s="282">
        <v>11</v>
      </c>
      <c r="L49" s="282">
        <v>19</v>
      </c>
      <c r="M49" s="282">
        <v>5</v>
      </c>
      <c r="N49" s="282">
        <v>15</v>
      </c>
      <c r="O49" s="282">
        <v>9</v>
      </c>
      <c r="P49" s="282">
        <v>7</v>
      </c>
      <c r="Q49" s="282">
        <v>3</v>
      </c>
      <c r="R49" s="281">
        <v>8</v>
      </c>
      <c r="S49" s="281">
        <v>22</v>
      </c>
    </row>
    <row r="50" spans="9:19" x14ac:dyDescent="0.2">
      <c r="I50" s="281" t="s">
        <v>284</v>
      </c>
      <c r="J50" s="282">
        <v>23</v>
      </c>
      <c r="K50" s="282">
        <v>22</v>
      </c>
      <c r="L50" s="282">
        <v>19</v>
      </c>
      <c r="M50" s="282">
        <v>10</v>
      </c>
      <c r="N50" s="282">
        <v>24</v>
      </c>
      <c r="O50" s="282">
        <v>9</v>
      </c>
      <c r="P50" s="282">
        <v>7</v>
      </c>
      <c r="Q50" s="282">
        <v>8</v>
      </c>
      <c r="R50" s="281">
        <v>16</v>
      </c>
      <c r="S50" s="281">
        <v>22</v>
      </c>
    </row>
    <row r="51" spans="9:19" x14ac:dyDescent="0.2">
      <c r="I51" s="281" t="s">
        <v>285</v>
      </c>
      <c r="J51" s="282">
        <v>23</v>
      </c>
      <c r="K51" s="282">
        <v>22</v>
      </c>
      <c r="L51" s="282">
        <v>19</v>
      </c>
      <c r="M51" s="282">
        <v>10</v>
      </c>
      <c r="N51" s="282">
        <v>24</v>
      </c>
      <c r="O51" s="282">
        <v>9</v>
      </c>
      <c r="P51" s="282">
        <v>7</v>
      </c>
      <c r="Q51" s="282">
        <v>8</v>
      </c>
      <c r="R51" s="281">
        <v>16</v>
      </c>
      <c r="S51" s="281">
        <v>22</v>
      </c>
    </row>
    <row r="52" spans="9:19" x14ac:dyDescent="0.2">
      <c r="I52" s="281" t="s">
        <v>227</v>
      </c>
      <c r="J52" s="282">
        <v>69</v>
      </c>
      <c r="K52" s="282">
        <v>220</v>
      </c>
      <c r="L52" s="282">
        <v>209</v>
      </c>
      <c r="M52" s="282">
        <v>120</v>
      </c>
      <c r="N52" s="282">
        <v>480</v>
      </c>
      <c r="O52" s="282">
        <v>189</v>
      </c>
      <c r="P52" s="282">
        <v>154</v>
      </c>
      <c r="Q52" s="282">
        <v>240</v>
      </c>
      <c r="R52" s="281">
        <v>640</v>
      </c>
      <c r="S52" s="281">
        <v>902</v>
      </c>
    </row>
    <row r="53" spans="9:19" x14ac:dyDescent="0.2">
      <c r="I53" s="281" t="s">
        <v>286</v>
      </c>
      <c r="J53" s="282">
        <v>783279.56675600004</v>
      </c>
      <c r="K53" s="282">
        <v>876014.80127099995</v>
      </c>
      <c r="L53" s="282">
        <v>637964.57543199998</v>
      </c>
      <c r="M53" s="282">
        <v>391512.28038499999</v>
      </c>
      <c r="N53" s="282">
        <v>325359.92727799999</v>
      </c>
      <c r="O53" s="282">
        <v>228254.95960900001</v>
      </c>
      <c r="P53" s="282">
        <v>119913.351196</v>
      </c>
      <c r="Q53" s="282">
        <v>89883.845260999995</v>
      </c>
      <c r="R53" s="281">
        <v>274758.10060900002</v>
      </c>
      <c r="S53" s="281">
        <v>178095.60386100001</v>
      </c>
    </row>
    <row r="54" spans="9:19" x14ac:dyDescent="0.2">
      <c r="I54" s="281" t="s">
        <v>287</v>
      </c>
      <c r="J54" s="282">
        <v>311621.80723099998</v>
      </c>
      <c r="K54" s="282">
        <v>128198.397289</v>
      </c>
      <c r="L54" s="282">
        <v>136489.68594200001</v>
      </c>
      <c r="M54" s="282">
        <v>140937.83874499999</v>
      </c>
      <c r="N54" s="282">
        <v>52483.264876000001</v>
      </c>
      <c r="O54" s="282">
        <v>54524.207391999997</v>
      </c>
      <c r="P54" s="282">
        <v>133227.69778399999</v>
      </c>
      <c r="Q54" s="282">
        <v>54069.036286000002</v>
      </c>
      <c r="R54" s="281">
        <v>51186.527765999999</v>
      </c>
      <c r="S54" s="281">
        <v>54583.676394000002</v>
      </c>
    </row>
    <row r="55" spans="9:19" x14ac:dyDescent="0.2">
      <c r="I55" s="281" t="s">
        <v>288</v>
      </c>
      <c r="J55" s="282">
        <v>4975.4772329999996</v>
      </c>
      <c r="K55" s="282">
        <v>3470.7651169999999</v>
      </c>
      <c r="L55" s="282">
        <v>2856.789859</v>
      </c>
      <c r="M55" s="282">
        <v>2566.2673519999998</v>
      </c>
      <c r="N55" s="282">
        <v>1242.835781</v>
      </c>
      <c r="O55" s="282">
        <v>1326.73966</v>
      </c>
      <c r="P55" s="282">
        <v>1116.19118</v>
      </c>
      <c r="Q55" s="282">
        <v>1127.713436</v>
      </c>
      <c r="R55" s="281">
        <v>1155.167052</v>
      </c>
      <c r="S55" s="281">
        <v>1024.4599539999999</v>
      </c>
    </row>
    <row r="56" spans="9:19" x14ac:dyDescent="0.2">
      <c r="I56" s="281" t="s">
        <v>289</v>
      </c>
      <c r="J56" s="282">
        <v>8.4299029999999995</v>
      </c>
      <c r="K56" s="282">
        <v>4.759328</v>
      </c>
      <c r="L56" s="282">
        <v>4.6977500000000001</v>
      </c>
      <c r="M56" s="282">
        <v>4.0309990000000004</v>
      </c>
      <c r="N56" s="282">
        <v>5.1566479999999997</v>
      </c>
      <c r="O56" s="282">
        <v>2.4776570000000002</v>
      </c>
      <c r="P56" s="282">
        <v>4.1520720000000004</v>
      </c>
      <c r="Q56" s="282">
        <v>5.485436</v>
      </c>
      <c r="R56" s="281">
        <v>3.5230350000000001</v>
      </c>
      <c r="S56" s="281">
        <v>8.5118849999999995</v>
      </c>
    </row>
    <row r="57" spans="9:19" x14ac:dyDescent="0.2">
      <c r="I57" s="281" t="s">
        <v>290</v>
      </c>
      <c r="J57" s="282">
        <v>12.433009</v>
      </c>
      <c r="K57" s="282">
        <v>12.860723</v>
      </c>
      <c r="L57" s="282">
        <v>10.696251999999999</v>
      </c>
      <c r="M57" s="282">
        <v>7.5290819999999998</v>
      </c>
      <c r="N57" s="282">
        <v>12.688173000000001</v>
      </c>
      <c r="O57" s="282">
        <v>7.3308099999999996</v>
      </c>
      <c r="P57" s="282">
        <v>2.4981949999999999</v>
      </c>
      <c r="Q57" s="282">
        <v>4.494192</v>
      </c>
      <c r="R57" s="281">
        <v>6.3209400000000002</v>
      </c>
      <c r="S57" s="281">
        <v>6.0777229999999998</v>
      </c>
    </row>
    <row r="58" spans="9:19" x14ac:dyDescent="0.2">
      <c r="I58" s="281" t="s">
        <v>291</v>
      </c>
      <c r="J58" s="282">
        <v>1449000</v>
      </c>
      <c r="K58" s="282">
        <v>1506000</v>
      </c>
      <c r="L58" s="282">
        <v>1152000</v>
      </c>
      <c r="M58" s="282">
        <v>520000</v>
      </c>
      <c r="N58" s="282">
        <v>658000</v>
      </c>
      <c r="O58" s="282">
        <v>276000</v>
      </c>
      <c r="P58" s="282">
        <v>336000</v>
      </c>
      <c r="Q58" s="282">
        <v>160000</v>
      </c>
      <c r="R58" s="281">
        <v>700000</v>
      </c>
      <c r="S58" s="281">
        <v>664000</v>
      </c>
    </row>
    <row r="60" spans="9:19" x14ac:dyDescent="0.2">
      <c r="I60" s="281" t="s">
        <v>292</v>
      </c>
    </row>
    <row r="61" spans="9:19" x14ac:dyDescent="0.2">
      <c r="I61" s="281" t="s">
        <v>227</v>
      </c>
      <c r="J61" t="s">
        <v>293</v>
      </c>
      <c r="K61" t="s">
        <v>258</v>
      </c>
      <c r="L61" t="s">
        <v>294</v>
      </c>
      <c r="M61" t="s">
        <v>295</v>
      </c>
      <c r="N61" t="s">
        <v>296</v>
      </c>
      <c r="O61" t="s">
        <v>297</v>
      </c>
      <c r="P61" t="s">
        <v>298</v>
      </c>
    </row>
    <row r="62" spans="9:19" x14ac:dyDescent="0.2">
      <c r="I62" s="284" t="s">
        <v>299</v>
      </c>
      <c r="J62">
        <v>7443</v>
      </c>
      <c r="K62">
        <v>2595.1176759999998</v>
      </c>
      <c r="L62">
        <v>9880.8085599999995</v>
      </c>
      <c r="M62">
        <v>0.28702100000000003</v>
      </c>
      <c r="N62">
        <v>9882.1728039999998</v>
      </c>
      <c r="O62">
        <v>0.28726499999999999</v>
      </c>
      <c r="P62">
        <v>53513116.067119002</v>
      </c>
    </row>
    <row r="63" spans="9:19" x14ac:dyDescent="0.2">
      <c r="I63">
        <v>3</v>
      </c>
      <c r="J63">
        <v>23</v>
      </c>
      <c r="K63">
        <v>8.8103899999999999</v>
      </c>
      <c r="L63">
        <v>34543.133447</v>
      </c>
      <c r="M63">
        <v>0.54830400000000001</v>
      </c>
      <c r="N63">
        <v>35369.810834999997</v>
      </c>
      <c r="O63">
        <v>0.56142599999999998</v>
      </c>
      <c r="P63">
        <v>63000</v>
      </c>
    </row>
    <row r="64" spans="9:19" x14ac:dyDescent="0.2">
      <c r="I64">
        <v>10</v>
      </c>
      <c r="J64">
        <v>22</v>
      </c>
      <c r="K64">
        <v>2.9437530000000001</v>
      </c>
      <c r="L64">
        <v>48569.666717</v>
      </c>
      <c r="M64">
        <v>0.68677900000000003</v>
      </c>
      <c r="N64">
        <v>43549.301325</v>
      </c>
      <c r="O64">
        <v>0.61604300000000001</v>
      </c>
      <c r="P64">
        <v>71527.932153999995</v>
      </c>
    </row>
    <row r="65" spans="9:16" x14ac:dyDescent="0.2">
      <c r="I65">
        <v>11</v>
      </c>
      <c r="J65">
        <v>19</v>
      </c>
      <c r="K65">
        <v>3.7475019999999999</v>
      </c>
      <c r="L65">
        <v>51739.782329000001</v>
      </c>
      <c r="M65">
        <v>0.79089200000000004</v>
      </c>
      <c r="N65">
        <v>36421.510125000001</v>
      </c>
      <c r="O65">
        <v>0.54902099999999998</v>
      </c>
      <c r="P65">
        <v>67416.022658000002</v>
      </c>
    </row>
    <row r="66" spans="9:16" x14ac:dyDescent="0.2">
      <c r="I66">
        <v>12</v>
      </c>
      <c r="J66">
        <v>10</v>
      </c>
      <c r="K66">
        <v>3.6724670000000001</v>
      </c>
      <c r="L66">
        <v>43130.764528</v>
      </c>
      <c r="M66">
        <v>0.82943800000000001</v>
      </c>
      <c r="N66">
        <v>38376.889319000002</v>
      </c>
      <c r="O66">
        <v>0.73801700000000003</v>
      </c>
      <c r="P66">
        <v>52000</v>
      </c>
    </row>
    <row r="67" spans="9:16" x14ac:dyDescent="0.2">
      <c r="I67">
        <v>20</v>
      </c>
      <c r="J67">
        <v>24</v>
      </c>
      <c r="K67">
        <v>3.5887739999999999</v>
      </c>
      <c r="L67">
        <v>10191.20909</v>
      </c>
      <c r="M67">
        <v>0.37696800000000003</v>
      </c>
      <c r="N67">
        <v>14624.287496000001</v>
      </c>
      <c r="O67">
        <v>0.53876900000000005</v>
      </c>
      <c r="P67">
        <v>30077.774827000001</v>
      </c>
    </row>
    <row r="68" spans="9:16" x14ac:dyDescent="0.2">
      <c r="I68">
        <v>21</v>
      </c>
      <c r="J68">
        <v>9</v>
      </c>
      <c r="K68">
        <v>1.656779</v>
      </c>
      <c r="L68">
        <v>19705.504937000002</v>
      </c>
      <c r="M68">
        <v>0.49875399999999998</v>
      </c>
      <c r="N68">
        <v>32909.761159000001</v>
      </c>
      <c r="O68">
        <v>0.81343100000000002</v>
      </c>
      <c r="P68">
        <v>40153.474710000002</v>
      </c>
    </row>
    <row r="69" spans="9:16" x14ac:dyDescent="0.2">
      <c r="I69">
        <v>22</v>
      </c>
      <c r="J69">
        <v>7</v>
      </c>
      <c r="K69">
        <v>4.5500590000000001</v>
      </c>
      <c r="L69">
        <v>3422.985936</v>
      </c>
      <c r="M69">
        <v>7.1312E-2</v>
      </c>
      <c r="N69">
        <v>29280.435260999999</v>
      </c>
      <c r="O69">
        <v>0.61000900000000002</v>
      </c>
      <c r="P69">
        <v>48000</v>
      </c>
    </row>
    <row r="70" spans="9:16" x14ac:dyDescent="0.2">
      <c r="I70">
        <v>30</v>
      </c>
      <c r="J70">
        <v>8</v>
      </c>
      <c r="K70">
        <v>4.7623350000000002</v>
      </c>
      <c r="L70">
        <v>7953.4397959999997</v>
      </c>
      <c r="M70">
        <v>0.39767200000000003</v>
      </c>
      <c r="N70">
        <v>11353.471777000001</v>
      </c>
      <c r="O70">
        <v>0.56767400000000001</v>
      </c>
      <c r="P70">
        <v>20000</v>
      </c>
    </row>
    <row r="71" spans="9:16" x14ac:dyDescent="0.2">
      <c r="I71">
        <v>40</v>
      </c>
      <c r="J71">
        <v>16</v>
      </c>
      <c r="K71">
        <v>2.622163</v>
      </c>
      <c r="L71">
        <v>18690.363361</v>
      </c>
      <c r="M71">
        <v>0.36055500000000001</v>
      </c>
      <c r="N71">
        <v>19520.728606000001</v>
      </c>
      <c r="O71">
        <v>0.37417099999999998</v>
      </c>
      <c r="P71">
        <v>52374.061632999998</v>
      </c>
    </row>
    <row r="72" spans="9:16" x14ac:dyDescent="0.2">
      <c r="I72">
        <v>41</v>
      </c>
      <c r="J72">
        <v>22</v>
      </c>
      <c r="K72">
        <v>7.6927479999999999</v>
      </c>
      <c r="L72">
        <v>10619.426258</v>
      </c>
      <c r="M72">
        <v>0.39512199999999997</v>
      </c>
      <c r="N72">
        <v>7095.4716669999998</v>
      </c>
      <c r="O72">
        <v>0.26486300000000002</v>
      </c>
      <c r="P72">
        <v>27719.856715000002</v>
      </c>
    </row>
  </sheetData>
  <pageMargins left="0.7" right="0.7" top="0.75" bottom="0.75"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5</vt:i4>
      </vt:variant>
    </vt:vector>
  </HeadingPairs>
  <TitlesOfParts>
    <vt:vector size="41" baseType="lpstr">
      <vt:lpstr>OKDOT Project Overview</vt:lpstr>
      <vt:lpstr>Project Elements-DWC</vt:lpstr>
      <vt:lpstr>Project Data Request</vt:lpstr>
      <vt:lpstr>Control Sections_Bryan County</vt:lpstr>
      <vt:lpstr>Pavement Conditions</vt:lpstr>
      <vt:lpstr>30 Year BCA</vt:lpstr>
      <vt:lpstr>Economic Competitiveness</vt:lpstr>
      <vt:lpstr>CPI</vt:lpstr>
      <vt:lpstr>Segments</vt:lpstr>
      <vt:lpstr>Workbook</vt:lpstr>
      <vt:lpstr>Input</vt:lpstr>
      <vt:lpstr>Corridors</vt:lpstr>
      <vt:lpstr>BCA 3%</vt:lpstr>
      <vt:lpstr>BCA 7%</vt:lpstr>
      <vt:lpstr>VMT</vt:lpstr>
      <vt:lpstr>Maintenance_per_LM</vt:lpstr>
      <vt:lpstr>Project Costs</vt:lpstr>
      <vt:lpstr>Project Budget</vt:lpstr>
      <vt:lpstr>Rail Delay</vt:lpstr>
      <vt:lpstr>Study Area</vt:lpstr>
      <vt:lpstr>2035 NB</vt:lpstr>
      <vt:lpstr>2035 Build</vt:lpstr>
      <vt:lpstr>READ</vt:lpstr>
      <vt:lpstr>VMT Interpolation</vt:lpstr>
      <vt:lpstr>VMT Interp</vt:lpstr>
      <vt:lpstr>VMT1</vt:lpstr>
      <vt:lpstr>Sheet7</vt:lpstr>
      <vt:lpstr>Carbon</vt:lpstr>
      <vt:lpstr>Rail Crash</vt:lpstr>
      <vt:lpstr>Car Crash</vt:lpstr>
      <vt:lpstr>Crash Data</vt:lpstr>
      <vt:lpstr>Tables</vt:lpstr>
      <vt:lpstr>Property Taxes</vt:lpstr>
      <vt:lpstr>Acres Developed</vt:lpstr>
      <vt:lpstr>Summary Table</vt:lpstr>
      <vt:lpstr>Sheet1</vt:lpstr>
      <vt:lpstr>'BCA 3%'!Print_Area</vt:lpstr>
      <vt:lpstr>Input!Print_Area</vt:lpstr>
      <vt:lpstr>'OKDOT Project Overview'!Print_Area</vt:lpstr>
      <vt:lpstr>'Pavement Conditions'!Print_Area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Kansas City Office</dc:creator>
  <cp:lastModifiedBy>Director</cp:lastModifiedBy>
  <cp:lastPrinted>2009-09-10T13:33:32Z</cp:lastPrinted>
  <dcterms:created xsi:type="dcterms:W3CDTF">2000-03-21T02:01:57Z</dcterms:created>
  <dcterms:modified xsi:type="dcterms:W3CDTF">2016-04-18T15:23:24Z</dcterms:modified>
</cp:coreProperties>
</file>